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fileSharing readOnlyRecommended="1"/>
  <workbookPr/>
  <mc:AlternateContent xmlns:mc="http://schemas.openxmlformats.org/markup-compatibility/2006">
    <mc:Choice Requires="x15">
      <x15ac:absPath xmlns:x15ac="http://schemas.microsoft.com/office/spreadsheetml/2010/11/ac" url="E:\Users\hemeroteca\Desktop\Repositorio Digital\TESIS DIGITAL\Posgrados\MBA Salud\"/>
    </mc:Choice>
  </mc:AlternateContent>
  <xr:revisionPtr revIDLastSave="0" documentId="8_{AAFB17A9-8F59-4704-9EEB-CB582017C93A}" xr6:coauthVersionLast="47" xr6:coauthVersionMax="47" xr10:uidLastSave="{00000000-0000-0000-0000-000000000000}"/>
  <bookViews>
    <workbookView xWindow="1125" yWindow="1125" windowWidth="15375" windowHeight="7875" firstSheet="1" activeTab="1" xr2:uid="{00000000-000D-0000-FFFF-FFFF00000000}"/>
  </bookViews>
  <sheets>
    <sheet name="Indice" sheetId="7" state="hidden" r:id="rId1"/>
    <sheet name="Forecast US + Arg + Canadá" sheetId="15" r:id="rId2"/>
    <sheet name="Forecast" sheetId="12" state="hidden" r:id="rId3"/>
    <sheet name="Fuente TAM 1" sheetId="9" r:id="rId4"/>
    <sheet name="Fuente 2" sheetId="14" r:id="rId5"/>
    <sheet name="Fuente 3" sheetId="11" r:id="rId6"/>
  </sheets>
  <definedNames>
    <definedName name="_xlnm.Print_Area" localSheetId="2">Forecast!$B$1:$T$80</definedName>
    <definedName name="_xlnm.Print_Area" localSheetId="1">'Forecast US + Arg + Canadá'!$B$1:$T$89</definedName>
    <definedName name="_xlnm.Print_Area" localSheetId="5">'Fuente 3'!$B$1:$R$61</definedName>
    <definedName name="_xlnm.Print_Area" localSheetId="3">'Fuente TAM 1'!$B$1:$R$61</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4" i="15" l="1"/>
  <c r="K24" i="15"/>
  <c r="J24" i="15"/>
  <c r="I24" i="15"/>
  <c r="H24" i="15"/>
  <c r="G24" i="15"/>
  <c r="F24" i="15"/>
  <c r="E24" i="15"/>
  <c r="D24" i="15"/>
  <c r="L19" i="15"/>
  <c r="K19" i="15"/>
  <c r="J19" i="15"/>
  <c r="I19" i="15"/>
  <c r="H19" i="15"/>
  <c r="G19" i="15"/>
  <c r="F19" i="15"/>
  <c r="E19" i="15"/>
  <c r="D19" i="15"/>
  <c r="C19" i="15"/>
  <c r="C20" i="15"/>
  <c r="C24" i="15"/>
  <c r="L13" i="15"/>
  <c r="K13" i="15"/>
  <c r="J13" i="15"/>
  <c r="I13" i="15"/>
  <c r="H13" i="15"/>
  <c r="G13" i="15"/>
  <c r="F13" i="15"/>
  <c r="E13" i="15"/>
  <c r="L11" i="15"/>
  <c r="K11" i="15"/>
  <c r="J11" i="15"/>
  <c r="I11" i="15"/>
  <c r="H11" i="15"/>
  <c r="G11" i="15"/>
  <c r="F11" i="15"/>
  <c r="E11" i="15"/>
  <c r="D13" i="15"/>
  <c r="D11" i="15"/>
  <c r="N8" i="15"/>
  <c r="N9" i="15"/>
  <c r="C19" i="14"/>
  <c r="D3" i="14"/>
  <c r="D4" i="14"/>
  <c r="F4" i="14"/>
  <c r="D5" i="14"/>
  <c r="D6" i="14"/>
  <c r="F6" i="14"/>
  <c r="D7" i="14"/>
  <c r="F7" i="14"/>
  <c r="D8" i="14"/>
  <c r="F8" i="14"/>
  <c r="D9" i="14"/>
  <c r="F9" i="14"/>
  <c r="D10" i="14"/>
  <c r="D11" i="14"/>
  <c r="F11" i="14"/>
  <c r="D12" i="14"/>
  <c r="F12" i="14"/>
  <c r="F5" i="14"/>
  <c r="F10" i="14"/>
  <c r="M19" i="15"/>
  <c r="M18" i="15"/>
  <c r="M17" i="15"/>
  <c r="L17" i="15"/>
  <c r="G17" i="15"/>
  <c r="F17" i="15"/>
  <c r="E17" i="15"/>
  <c r="D17" i="15"/>
  <c r="C17" i="15"/>
  <c r="F3" i="14"/>
  <c r="C10" i="15"/>
  <c r="C18" i="15"/>
  <c r="B17" i="14"/>
  <c r="E3" i="14"/>
  <c r="E17" i="14"/>
  <c r="E14" i="14"/>
  <c r="F14" i="14"/>
  <c r="E13" i="14"/>
  <c r="F13" i="14"/>
  <c r="C12" i="15"/>
  <c r="D12" i="15"/>
  <c r="E12" i="15"/>
  <c r="F12" i="15"/>
  <c r="G12" i="15"/>
  <c r="H12" i="15"/>
  <c r="I12" i="15"/>
  <c r="J12" i="15"/>
  <c r="K12" i="15"/>
  <c r="L12" i="15"/>
  <c r="G9" i="15"/>
  <c r="F9" i="15"/>
  <c r="E9" i="15"/>
  <c r="D9" i="15"/>
  <c r="H9" i="15"/>
  <c r="H8" i="12"/>
  <c r="H9" i="12"/>
  <c r="G9" i="12"/>
  <c r="F9" i="12"/>
  <c r="E9" i="12"/>
  <c r="D9" i="12"/>
  <c r="D17" i="14"/>
  <c r="H17" i="15"/>
  <c r="C14" i="15"/>
  <c r="I17" i="15"/>
  <c r="C10" i="12"/>
  <c r="C13" i="12"/>
  <c r="C15" i="12"/>
  <c r="C18" i="12"/>
  <c r="I8" i="12"/>
  <c r="C21" i="15"/>
  <c r="I9" i="15"/>
  <c r="D10" i="15"/>
  <c r="D18" i="15"/>
  <c r="D10" i="12"/>
  <c r="D13" i="12"/>
  <c r="D15" i="12"/>
  <c r="D17" i="12"/>
  <c r="C17" i="12"/>
  <c r="C16" i="12"/>
  <c r="I9" i="12"/>
  <c r="J8" i="12"/>
  <c r="J9" i="15"/>
  <c r="J17" i="15"/>
  <c r="D20" i="15"/>
  <c r="D14" i="15"/>
  <c r="K17" i="15"/>
  <c r="E10" i="15"/>
  <c r="E18" i="15"/>
  <c r="C27" i="15"/>
  <c r="C26" i="15"/>
  <c r="C25" i="15"/>
  <c r="E10" i="12"/>
  <c r="F10" i="12"/>
  <c r="F13" i="12"/>
  <c r="F15" i="12"/>
  <c r="D18" i="12"/>
  <c r="D16" i="12"/>
  <c r="J9" i="12"/>
  <c r="K8" i="12"/>
  <c r="D26" i="15"/>
  <c r="D21" i="15"/>
  <c r="E20" i="15"/>
  <c r="E14" i="15"/>
  <c r="L9" i="15"/>
  <c r="K9" i="15"/>
  <c r="F10" i="15"/>
  <c r="F18" i="15"/>
  <c r="G10" i="12"/>
  <c r="H10" i="12"/>
  <c r="E13" i="12"/>
  <c r="E15" i="12"/>
  <c r="E16" i="12"/>
  <c r="F18" i="12"/>
  <c r="F17" i="12"/>
  <c r="F16" i="12"/>
  <c r="K9" i="12"/>
  <c r="L9" i="12"/>
  <c r="D27" i="15"/>
  <c r="D25" i="15"/>
  <c r="E27" i="15"/>
  <c r="E21" i="15"/>
  <c r="G13" i="12"/>
  <c r="G15" i="12"/>
  <c r="G17" i="12"/>
  <c r="F20" i="15"/>
  <c r="F14" i="15"/>
  <c r="G10" i="15"/>
  <c r="G18" i="15"/>
  <c r="E17" i="12"/>
  <c r="E18" i="12"/>
  <c r="G16" i="12"/>
  <c r="G18" i="12"/>
  <c r="H13" i="12"/>
  <c r="H15" i="12"/>
  <c r="I10" i="12"/>
  <c r="E25" i="15"/>
  <c r="E26" i="15"/>
  <c r="F27" i="15"/>
  <c r="F21" i="15"/>
  <c r="G20" i="15"/>
  <c r="G14" i="15"/>
  <c r="H10" i="15"/>
  <c r="H18" i="15"/>
  <c r="H16" i="12"/>
  <c r="H17" i="12"/>
  <c r="H18" i="12"/>
  <c r="I13" i="12"/>
  <c r="I15" i="12"/>
  <c r="J10" i="12"/>
  <c r="F25" i="15"/>
  <c r="F26" i="15"/>
  <c r="G27" i="15"/>
  <c r="G21" i="15"/>
  <c r="G26" i="15"/>
  <c r="G25" i="15"/>
  <c r="H20" i="15"/>
  <c r="H14" i="15"/>
  <c r="I10" i="15"/>
  <c r="I18" i="15"/>
  <c r="K10" i="12"/>
  <c r="J13" i="12"/>
  <c r="J15" i="12"/>
  <c r="I16" i="12"/>
  <c r="I17" i="12"/>
  <c r="I18" i="12"/>
  <c r="H27" i="15"/>
  <c r="H21" i="15"/>
  <c r="I20" i="15"/>
  <c r="I14" i="15"/>
  <c r="J10" i="15"/>
  <c r="J16" i="12"/>
  <c r="J17" i="12"/>
  <c r="J18" i="12"/>
  <c r="K13" i="12"/>
  <c r="K15" i="12"/>
  <c r="L10" i="12"/>
  <c r="I26" i="15"/>
  <c r="I21" i="15"/>
  <c r="H25" i="15"/>
  <c r="H26" i="15"/>
  <c r="K10" i="15"/>
  <c r="K18" i="15"/>
  <c r="K20" i="15"/>
  <c r="J18" i="15"/>
  <c r="J20" i="15"/>
  <c r="I27" i="15"/>
  <c r="I25" i="15"/>
  <c r="J14" i="15"/>
  <c r="K18" i="12"/>
  <c r="K17" i="12"/>
  <c r="K16" i="12"/>
  <c r="L13" i="12"/>
  <c r="L15" i="12"/>
  <c r="L16" i="12"/>
  <c r="J25" i="15"/>
  <c r="J21" i="15"/>
  <c r="K27" i="15"/>
  <c r="K21" i="15"/>
  <c r="L10" i="15"/>
  <c r="L18" i="15"/>
  <c r="L20" i="15"/>
  <c r="K14" i="15"/>
  <c r="J27" i="15"/>
  <c r="J26" i="15"/>
  <c r="L18" i="12"/>
  <c r="L17" i="12"/>
  <c r="K25" i="15"/>
  <c r="K26" i="15"/>
  <c r="L27" i="15"/>
  <c r="L21" i="15"/>
  <c r="L14" i="15"/>
  <c r="L26" i="15"/>
  <c r="L25" i="15"/>
</calcChain>
</file>

<file path=xl/sharedStrings.xml><?xml version="1.0" encoding="utf-8"?>
<sst xmlns="http://schemas.openxmlformats.org/spreadsheetml/2006/main" count="152" uniqueCount="92">
  <si>
    <t>Total</t>
  </si>
  <si>
    <t>Índice</t>
  </si>
  <si>
    <t>Cuadro 1</t>
  </si>
  <si>
    <t>Cuadro 2</t>
  </si>
  <si>
    <t>Cuadro 3</t>
  </si>
  <si>
    <t>Cuadro 4</t>
  </si>
  <si>
    <t>Cuadro 5</t>
  </si>
  <si>
    <t>Cuadro 6</t>
  </si>
  <si>
    <t>Encuesta nacional  de centros de compras</t>
  </si>
  <si>
    <t xml:space="preserve">Encuesta nacional de centros de compras. Área bruta locativa de locales activos con volumen de ventas por jurisdicción y rubros, en metros cuadrados. </t>
  </si>
  <si>
    <t xml:space="preserve">Encuesta nacional de centros de compras. Índice de ventas totales a precios corrientes, a precios constantes e índice de precios implícitos, base año 2017=100, en números índice y variación porcentual. </t>
  </si>
  <si>
    <t>Encuesta nacional de centros de compras. Ventas totales, Gran Buenos Aires y resto del país a precios corrientes y a precios constantes, en millones de pesos y variaciones porcentuales.</t>
  </si>
  <si>
    <t>Encuesta nacional de centros de compras. Ventas totales a precios corrientes, en miles de pesos por jurisdicción y rubro.</t>
  </si>
  <si>
    <t>Encuesta nacional de centros de compras. Locales activos con volumen de ventas por jurisdicción y rubros, en unidades.</t>
  </si>
  <si>
    <t>Encuesta nacional de centros de compras. Salas cinematográficas, espectadores y espectadores por sala según jurisdicción.</t>
  </si>
  <si>
    <t>ESTRICTAMENTE CONFIDENCIAL - NO PUBLICAR EN BIBLIOTECA</t>
  </si>
  <si>
    <t>Alumno: Juan Martín Segré</t>
  </si>
  <si>
    <t>Durable cell and gene therapy potential patient and financial impact: US projections of product approvals, patients treated, and product revenues</t>
  </si>
  <si>
    <t>Paper</t>
  </si>
  <si>
    <t>Author</t>
  </si>
  <si>
    <t>Colin M. YoungCasey QuinnMark R. Trusheim</t>
  </si>
  <si>
    <t>Durable cell and gene therapies potentially transform patient lives, but payers fear unsustainable costs arising from the more than 1000 therapies in the development pipeline. A novel multi-module Markov chain Monte Carlo-based model projects product-indication approvals, treated  atients, and product revenues. We estimate a mean 63.5 (54–74 5th to 95th percentile range) cumulative US product indication approvals through 2030, with a mean 93 000 patients treated in 2030.</t>
  </si>
  <si>
    <t>Abstract</t>
  </si>
  <si>
    <t>Argentina</t>
  </si>
  <si>
    <t>Mexico</t>
  </si>
  <si>
    <t>Colombia</t>
  </si>
  <si>
    <t>Perú</t>
  </si>
  <si>
    <t>Chile</t>
  </si>
  <si>
    <t>Ecuador</t>
  </si>
  <si>
    <t>Bolivia</t>
  </si>
  <si>
    <t>Paraguay</t>
  </si>
  <si>
    <t>Uruguay</t>
  </si>
  <si>
    <t>Brasil</t>
  </si>
  <si>
    <t>Población US</t>
  </si>
  <si>
    <t>Architecture of pipeline analysis model.</t>
  </si>
  <si>
    <t>Figure 2 
Baseline projected cumulative US product-indication approvals with median product approvals by therapeutic area in the table beneath. See main text for more details.</t>
  </si>
  <si>
    <t>Figure 3 
Baseline mean total treated patients per year for all durable gene and cell therapies</t>
  </si>
  <si>
    <t>The table below the product-indication approval plot in Fig. 2 lists the average number of cumulative product-indications by therapeutic area from the simulation. The first column shows seven product-indication approvals as of yearend 2020 followed by annual projections through 2025 and then the 2030 ending year approvals projection. Only two incremental product indications were projected for 2021, with the mean rising to approximately five per year over the next four years (2022–2025), reaching a total of 63–64 product-indication approvals by 2030. 
Fig. 2 also shows the range of the simulations, with the orange area showing the 5–95th percentile range (the iteration with the 50 000th lowest projection to the iteration with 950 000th highest projection) extending from 54 to 74 approved product indications by 2030. The tan area shows the range of the remaining extreme cases by plotting the absolute highest and lowest projections in each year out of the 1 000 000, which further extended the range giving 38 to 95 approved product-indications by end of 2030.</t>
  </si>
  <si>
    <t>Hematological cancers would likely receive half of all
approved product-indications by 2030</t>
  </si>
  <si>
    <t>Año 1</t>
  </si>
  <si>
    <t>Año 2</t>
  </si>
  <si>
    <t>Año 3</t>
  </si>
  <si>
    <t>Año 4</t>
  </si>
  <si>
    <t>Año 5</t>
  </si>
  <si>
    <t>Año 6</t>
  </si>
  <si>
    <t>Año 7</t>
  </si>
  <si>
    <t>Año 8</t>
  </si>
  <si>
    <t>Año 9</t>
  </si>
  <si>
    <t>Año 10</t>
  </si>
  <si>
    <t>Mercado</t>
  </si>
  <si>
    <t>LATAM</t>
  </si>
  <si>
    <t>TAM</t>
  </si>
  <si>
    <t>SAM</t>
  </si>
  <si>
    <t>LATAM Population</t>
  </si>
  <si>
    <t>ESTIMATING THE FINANCIAL IMPACT OF GENE THERAPY IN THE U.S. Chi Heem Wong Dexin Li Nina Wang Jonathan Gruber Rena M. Conti Andrew W. Lo</t>
  </si>
  <si>
    <t>De los cuales necesitarán contar con mecanismos de financiación que les permita tratar a los pacientes (Pago por resultados)</t>
  </si>
  <si>
    <t>SOM</t>
  </si>
  <si>
    <t xml:space="preserve">El servicio contaría con servicios de consultoría, patient management (manejo de información clinica del paciente), implementación y seguimiento de SmartContracts, recolección de RWE. </t>
  </si>
  <si>
    <t>Estimación de pacientes nuevos tratados con terapias de avanzada</t>
  </si>
  <si>
    <t>US*</t>
  </si>
  <si>
    <t>Precio por paciente / contrato (USD)**</t>
  </si>
  <si>
    <t>* Source: "Fuente 1" Baseline mean total treated patients per year for all durable gene and cell therapies. "Durable cell and gene therapy potential patient and financial impact: US projections of product approvals, patients treated, and product revenues" - Colin M. YoungCasey QuinnMark R. Trusheim</t>
  </si>
  <si>
    <t>Anexo - TAM, SAM, SOM P4P</t>
  </si>
  <si>
    <t>MBA Salud UdeSA - Trabajo Final de Graduación</t>
  </si>
  <si>
    <t>** Análisis de sensibilidad - 1 Assumption: 3.700 es 1% del precio de la terapia de avanzada más barata del mercado actualmente (Yescarta, 373 000). Estos servicios suelen manejarse en moneda extranjera (USD)</t>
  </si>
  <si>
    <r>
      <rPr>
        <b/>
        <sz val="11"/>
        <color theme="1"/>
        <rFont val="Calibri"/>
        <family val="2"/>
        <scheme val="minor"/>
      </rPr>
      <t>TAM</t>
    </r>
    <r>
      <rPr>
        <sz val="11"/>
        <color theme="1"/>
        <rFont val="Calibri"/>
        <family val="2"/>
        <scheme val="minor"/>
      </rPr>
      <t>: Estimación de pacientes que podrían potencialmente ser tratados con terapias genicas o celulares en LATAM</t>
    </r>
  </si>
  <si>
    <r>
      <rPr>
        <b/>
        <sz val="11"/>
        <color theme="1"/>
        <rFont val="Calibri"/>
        <family val="2"/>
        <scheme val="minor"/>
      </rPr>
      <t>SAM</t>
    </r>
    <r>
      <rPr>
        <sz val="11"/>
        <color theme="1"/>
        <rFont val="Calibri"/>
        <family val="2"/>
        <scheme val="minor"/>
      </rPr>
      <t>: De los pacientes que podrían ser tratados (TAM), se estima que el 10% tendrá acceso a estos tratamientos (reembolso por financiadores)</t>
    </r>
  </si>
  <si>
    <t xml:space="preserve">Dadas las carateristicas del negocio para que compren nuestro servicio es necesario que haya acceso a estos tratamientos. </t>
  </si>
  <si>
    <t>El incentivo a dar acceso es encontrar mecanismos de financiación que le permita a los financiadores reembolsar este tipo de terapias, por ejemplo el pago por resultados basado en valor</t>
  </si>
  <si>
    <t xml:space="preserve">Sabemos que el mercado de US es muy abierto a la innovación a financiar este tipo de medicamentos. En Latinoamérica tienen una adopción más lenta (por restricciones presupuestarias) y son más resistentes a brindar acceso a medicamentos de alto costo </t>
  </si>
  <si>
    <t>Tomando en cuenta la estimación de pacientes que sarán tratados en US y que podrían ser tratados en LATAM, estimamos que el 10% será tratado en LATAM</t>
  </si>
  <si>
    <t>siendo este acuerdo gestionado a través de SmartContracts brindando el servicio desde nuestra compañía.</t>
  </si>
  <si>
    <r>
      <t xml:space="preserve">SOM: </t>
    </r>
    <r>
      <rPr>
        <sz val="11"/>
        <color theme="1"/>
        <rFont val="Calibri"/>
        <family val="2"/>
        <scheme val="minor"/>
      </rPr>
      <t>Estimamos que un 3% de los pacientes tratados del mercado total podrían estar bajo un esquemo de Pago por Resultados entre un financiador y un laboratorio en los primeros 3 años, y 4% los siguientes años</t>
    </r>
  </si>
  <si>
    <t>P4P - Making Value-Based reimbursement a possibility</t>
  </si>
  <si>
    <t>JM</t>
  </si>
  <si>
    <t>Canada</t>
  </si>
  <si>
    <t>USA</t>
  </si>
  <si>
    <t>Canadá</t>
  </si>
  <si>
    <t>Estimación pacientes tratados año 1</t>
  </si>
  <si>
    <t>US</t>
  </si>
  <si>
    <t xml:space="preserve">Sabemos que el mercado de US y Canadá es muy abierto a la innovación a financiar este tipo de medicamentos. En Latinoamérica tienen una adopción más lenta (por restricciones presupuestarias) y son más resistentes a brindar acceso a medicamentos de alto costo </t>
  </si>
  <si>
    <t>Para Argentina y Canadá se extrapolan los datos en base a la población</t>
  </si>
  <si>
    <t>Fuente: Banco Mundial</t>
  </si>
  <si>
    <t>Sin acceso al sistema de salud / acceso público</t>
  </si>
  <si>
    <t>Health Insurance Coverage in the United States: 2017 - By Edward R. Berchick, Emily Hood, and Jessica C. Barnett</t>
  </si>
  <si>
    <t xml:space="preserve">Oscar Cochlar - Aspectos legales y regulatorios en las organizaciones de salud (UdeSA) </t>
  </si>
  <si>
    <t>Access rate to HCS (exluded % of population without formal coverage)</t>
  </si>
  <si>
    <t>P4P - Making Value-Based reimbursement possible</t>
  </si>
  <si>
    <r>
      <rPr>
        <b/>
        <sz val="11"/>
        <color theme="1"/>
        <rFont val="Calibri"/>
        <family val="2"/>
        <scheme val="minor"/>
      </rPr>
      <t>TAM</t>
    </r>
    <r>
      <rPr>
        <sz val="11"/>
        <color theme="1"/>
        <rFont val="Calibri"/>
        <family val="2"/>
        <scheme val="minor"/>
      </rPr>
      <t>: Estimación de pacientes que candidatos ser tratados con terapias genicas o celulares en US y extrapolado a Canadá y Argentina</t>
    </r>
  </si>
  <si>
    <r>
      <rPr>
        <b/>
        <sz val="11"/>
        <color theme="1"/>
        <rFont val="Calibri"/>
        <family val="2"/>
        <scheme val="minor"/>
      </rPr>
      <t>SAM</t>
    </r>
    <r>
      <rPr>
        <sz val="11"/>
        <color theme="1"/>
        <rFont val="Calibri"/>
        <family val="2"/>
        <scheme val="minor"/>
      </rPr>
      <t>: De los pacientes candidatos a ser tratados (TAM), se quita el porcentaje de la población que no tiene acceso al sistema de salud en cada uno de los países seleccionados</t>
    </r>
  </si>
  <si>
    <r>
      <t xml:space="preserve">SOM: </t>
    </r>
    <r>
      <rPr>
        <sz val="11"/>
        <color theme="1"/>
        <rFont val="Calibri"/>
        <family val="2"/>
        <scheme val="minor"/>
      </rPr>
      <t>Estimación de los pacientes tratados bajo un esquema de Pago por Valor / Resultados entre un financiador y un laboratorio (Value based contracting) en los primeros 2 años, 4% los siguientes 2 años, 5% año 5 y 6, 6% año 7 y 8 7%, año 9, 9% y año 10 10%</t>
    </r>
  </si>
  <si>
    <t>Anexo III - TAM, SAM, SOM P4P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</si>
</sst>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_ * #,##0_ ;_ * \-#,##0_ ;_ * &quot;-&quot;??_ ;_ @_ "/>
    <numFmt numFmtId="166" formatCode="_-* #,##0_-;\-* #,##0_-;_-* &quot;-&quot;??_-;_-@_-"/>
    <numFmt numFmtId="167" formatCode="0.0%"/>
  </numFmts>
  <fonts count="20" x14ac:knownFonts="1">
    <font>
      <sz val="11"/>
      <color theme="1"/>
      <name val="Calibri"/>
      <family val="2"/>
      <scheme val="minor"/>
    </font>
    <font>
      <sz val="11"/>
      <color indexed="8"/>
      <name val="Calibri"/>
      <family val="2"/>
    </font>
    <font>
      <sz val="9"/>
      <color indexed="8"/>
      <name val="Arial"/>
      <family val="2"/>
    </font>
    <font>
      <sz val="9"/>
      <name val="Arial"/>
      <family val="2"/>
    </font>
    <font>
      <b/>
      <sz val="11"/>
      <color indexed="8"/>
      <name val="Arial"/>
      <family val="2"/>
    </font>
    <font>
      <sz val="11"/>
      <color indexed="8"/>
      <name val="Arial"/>
      <family val="2"/>
    </font>
    <font>
      <sz val="8"/>
      <name val="Calibri"/>
      <family val="2"/>
    </font>
    <font>
      <b/>
      <sz val="11"/>
      <color theme="1"/>
      <name val="Calibri"/>
      <family val="2"/>
      <scheme val="minor"/>
    </font>
    <font>
      <b/>
      <sz val="12"/>
      <color theme="4" tint="-0.249977111117893"/>
      <name val="Calibri"/>
      <family val="2"/>
      <scheme val="minor"/>
    </font>
    <font>
      <sz val="11"/>
      <color theme="1"/>
      <name val="Franklin Gothic Book"/>
      <family val="2"/>
    </font>
    <font>
      <sz val="11"/>
      <color rgb="FFFF0000"/>
      <name val="Calibri"/>
      <family val="2"/>
      <scheme val="minor"/>
    </font>
    <font>
      <sz val="8"/>
      <color theme="1"/>
      <name val="Arial"/>
      <family val="2"/>
    </font>
    <font>
      <b/>
      <i/>
      <sz val="12"/>
      <color rgb="FF2F5496"/>
      <name val="Arial"/>
      <family val="2"/>
    </font>
    <font>
      <b/>
      <sz val="10"/>
      <color theme="1"/>
      <name val="Arial"/>
      <family val="2"/>
    </font>
    <font>
      <sz val="8"/>
      <name val="Calibri"/>
      <family val="2"/>
      <scheme val="minor"/>
    </font>
    <font>
      <b/>
      <sz val="10"/>
      <color theme="0"/>
      <name val="Arial"/>
      <family val="2"/>
    </font>
    <font>
      <b/>
      <sz val="11"/>
      <color theme="0"/>
      <name val="Calibri"/>
      <family val="2"/>
      <scheme val="minor"/>
    </font>
    <font>
      <sz val="11"/>
      <color theme="0"/>
      <name val="Calibri"/>
      <family val="2"/>
      <scheme val="minor"/>
    </font>
    <font>
      <b/>
      <sz val="12"/>
      <color rgb="FF2F5496"/>
      <name val="Arial"/>
      <family val="2"/>
    </font>
    <font>
      <i/>
      <sz val="11"/>
      <color theme="1"/>
      <name val="Calibri"/>
      <family val="2"/>
      <scheme val="minor"/>
    </font>
  </fonts>
  <fills count="5">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rgb="FFDDDDDD"/>
        <bgColor indexed="64"/>
      </patternFill>
    </fill>
  </fills>
  <borders count="1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style="thin">
        <color indexed="64"/>
      </top>
      <bottom style="medium">
        <color indexed="64"/>
      </bottom>
      <diagonal/>
    </border>
  </borders>
  <cellStyleXfs count="6">
    <xf numFmtId="0" fontId="0"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9" fillId="0" borderId="0"/>
  </cellStyleXfs>
  <cellXfs count="89">
    <xf numFmtId="0" fontId="0" fillId="0" borderId="0" xfId="0"/>
    <xf numFmtId="0" fontId="2" fillId="2" borderId="0" xfId="0" applyFont="1" applyFill="1"/>
    <xf numFmtId="0" fontId="0" fillId="2" borderId="0" xfId="0" applyFill="1"/>
    <xf numFmtId="0" fontId="0" fillId="0" borderId="0" xfId="0" applyAlignment="1">
      <alignment horizontal="center"/>
    </xf>
    <xf numFmtId="0" fontId="4" fillId="2" borderId="0" xfId="0" applyFont="1" applyFill="1"/>
    <xf numFmtId="0" fontId="5" fillId="2" borderId="0" xfId="0" applyFont="1" applyFill="1"/>
    <xf numFmtId="0" fontId="3" fillId="2" borderId="0" xfId="0" applyFont="1" applyFill="1" applyAlignment="1">
      <alignment wrapText="1" readingOrder="1"/>
    </xf>
    <xf numFmtId="0" fontId="7" fillId="0" borderId="0" xfId="0" applyFont="1"/>
    <xf numFmtId="0" fontId="8" fillId="3" borderId="1" xfId="0" applyFont="1" applyFill="1" applyBorder="1"/>
    <xf numFmtId="0" fontId="8" fillId="3" borderId="2" xfId="0" applyFont="1" applyFill="1" applyBorder="1"/>
    <xf numFmtId="0" fontId="8" fillId="3" borderId="3" xfId="0" applyFont="1" applyFill="1" applyBorder="1"/>
    <xf numFmtId="0" fontId="10" fillId="0" borderId="0" xfId="0" applyFont="1" applyAlignment="1">
      <alignment horizontal="left" vertical="center"/>
    </xf>
    <xf numFmtId="0" fontId="11" fillId="0" borderId="0" xfId="0" applyFont="1" applyAlignment="1">
      <alignment horizontal="right" vertical="center"/>
    </xf>
    <xf numFmtId="0" fontId="12" fillId="0" borderId="0" xfId="0" applyFont="1" applyAlignment="1">
      <alignment horizontal="left" vertical="center"/>
    </xf>
    <xf numFmtId="0" fontId="0" fillId="0" borderId="0" xfId="0" applyAlignment="1">
      <alignment vertical="top" wrapText="1"/>
    </xf>
    <xf numFmtId="0" fontId="13" fillId="0" borderId="0" xfId="0" applyFont="1"/>
    <xf numFmtId="166" fontId="0" fillId="0" borderId="0" xfId="1" applyNumberFormat="1" applyFont="1"/>
    <xf numFmtId="166" fontId="7" fillId="0" borderId="0" xfId="0" applyNumberFormat="1" applyFont="1"/>
    <xf numFmtId="0" fontId="0" fillId="0" borderId="0" xfId="0" applyAlignment="1">
      <alignment horizontal="left" vertical="center"/>
    </xf>
    <xf numFmtId="0" fontId="7" fillId="0" borderId="5" xfId="0" applyFont="1" applyBorder="1"/>
    <xf numFmtId="165" fontId="0" fillId="0" borderId="5" xfId="1" applyNumberFormat="1" applyFont="1" applyBorder="1"/>
    <xf numFmtId="165" fontId="0" fillId="0" borderId="6" xfId="1" applyNumberFormat="1" applyFont="1" applyBorder="1"/>
    <xf numFmtId="9" fontId="0" fillId="0" borderId="0" xfId="4" applyFont="1" applyBorder="1"/>
    <xf numFmtId="9" fontId="0" fillId="0" borderId="8" xfId="4" applyFont="1" applyBorder="1"/>
    <xf numFmtId="165" fontId="0" fillId="0" borderId="0" xfId="1" applyNumberFormat="1" applyFont="1" applyBorder="1"/>
    <xf numFmtId="0" fontId="0" fillId="0" borderId="10" xfId="0" applyBorder="1"/>
    <xf numFmtId="9" fontId="0" fillId="0" borderId="10" xfId="4" applyFont="1" applyBorder="1"/>
    <xf numFmtId="9" fontId="0" fillId="0" borderId="11" xfId="4" applyFont="1" applyBorder="1"/>
    <xf numFmtId="0" fontId="7" fillId="0" borderId="2" xfId="0" applyFont="1" applyBorder="1"/>
    <xf numFmtId="165" fontId="0" fillId="0" borderId="2" xfId="1" applyNumberFormat="1" applyFont="1" applyBorder="1"/>
    <xf numFmtId="165" fontId="0" fillId="0" borderId="3" xfId="1" applyNumberFormat="1" applyFont="1" applyBorder="1"/>
    <xf numFmtId="166" fontId="7" fillId="0" borderId="1" xfId="1" applyNumberFormat="1" applyFont="1" applyBorder="1" applyAlignment="1">
      <alignment horizontal="center" vertical="center"/>
    </xf>
    <xf numFmtId="0" fontId="7" fillId="4" borderId="1" xfId="5" applyFont="1" applyFill="1" applyBorder="1" applyAlignment="1">
      <alignment wrapText="1"/>
    </xf>
    <xf numFmtId="0" fontId="7" fillId="4" borderId="2" xfId="5" applyFont="1" applyFill="1" applyBorder="1" applyAlignment="1">
      <alignment wrapText="1"/>
    </xf>
    <xf numFmtId="0" fontId="7" fillId="4" borderId="3" xfId="5" applyFont="1" applyFill="1" applyBorder="1" applyAlignment="1">
      <alignment wrapText="1"/>
    </xf>
    <xf numFmtId="0" fontId="0" fillId="0" borderId="4" xfId="0" applyBorder="1"/>
    <xf numFmtId="165" fontId="0" fillId="0" borderId="5" xfId="0" applyNumberFormat="1" applyBorder="1"/>
    <xf numFmtId="165" fontId="0" fillId="0" borderId="6" xfId="0" applyNumberFormat="1" applyBorder="1"/>
    <xf numFmtId="166" fontId="7" fillId="0" borderId="7" xfId="0" applyNumberFormat="1" applyFont="1" applyBorder="1"/>
    <xf numFmtId="165" fontId="0" fillId="0" borderId="0" xfId="0" applyNumberFormat="1"/>
    <xf numFmtId="165" fontId="0" fillId="0" borderId="8" xfId="0" applyNumberFormat="1" applyBorder="1"/>
    <xf numFmtId="0" fontId="0" fillId="0" borderId="9" xfId="0" applyBorder="1"/>
    <xf numFmtId="165" fontId="0" fillId="0" borderId="10" xfId="1" applyNumberFormat="1" applyFont="1" applyBorder="1"/>
    <xf numFmtId="165" fontId="0" fillId="0" borderId="10" xfId="0" applyNumberFormat="1" applyBorder="1"/>
    <xf numFmtId="165" fontId="0" fillId="0" borderId="11" xfId="0" applyNumberFormat="1" applyBorder="1"/>
    <xf numFmtId="165" fontId="7" fillId="0" borderId="0" xfId="1" applyNumberFormat="1" applyFont="1" applyBorder="1"/>
    <xf numFmtId="165" fontId="7" fillId="0" borderId="8" xfId="1" applyNumberFormat="1" applyFont="1" applyBorder="1"/>
    <xf numFmtId="166" fontId="7" fillId="0" borderId="9" xfId="1" applyNumberFormat="1" applyFont="1" applyBorder="1" applyAlignment="1">
      <alignment horizontal="center" vertical="center"/>
    </xf>
    <xf numFmtId="166" fontId="0" fillId="0" borderId="0" xfId="0" applyNumberFormat="1"/>
    <xf numFmtId="0" fontId="7" fillId="4" borderId="4" xfId="5" applyFont="1" applyFill="1" applyBorder="1" applyAlignment="1">
      <alignment wrapText="1"/>
    </xf>
    <xf numFmtId="0" fontId="7" fillId="4" borderId="5" xfId="5" applyFont="1" applyFill="1" applyBorder="1" applyAlignment="1">
      <alignment wrapText="1"/>
    </xf>
    <xf numFmtId="0" fontId="7" fillId="4" borderId="6" xfId="5" applyFont="1" applyFill="1" applyBorder="1" applyAlignment="1">
      <alignment wrapText="1"/>
    </xf>
    <xf numFmtId="165" fontId="0" fillId="0" borderId="0" xfId="1" applyNumberFormat="1" applyFont="1"/>
    <xf numFmtId="165" fontId="0" fillId="0" borderId="8" xfId="1" applyNumberFormat="1" applyFont="1" applyBorder="1"/>
    <xf numFmtId="0" fontId="7" fillId="0" borderId="10" xfId="0" applyFont="1" applyBorder="1"/>
    <xf numFmtId="165" fontId="0" fillId="0" borderId="11" xfId="1" applyNumberFormat="1" applyFont="1" applyBorder="1"/>
    <xf numFmtId="165" fontId="7" fillId="0" borderId="10" xfId="0" applyNumberFormat="1" applyFont="1" applyBorder="1"/>
    <xf numFmtId="165" fontId="7" fillId="0" borderId="11" xfId="0" applyNumberFormat="1" applyFont="1" applyBorder="1"/>
    <xf numFmtId="165" fontId="7" fillId="0" borderId="5" xfId="1" applyNumberFormat="1" applyFont="1" applyBorder="1"/>
    <xf numFmtId="165" fontId="7" fillId="0" borderId="6" xfId="1" applyNumberFormat="1" applyFont="1" applyBorder="1"/>
    <xf numFmtId="166" fontId="7" fillId="0" borderId="0" xfId="1" applyNumberFormat="1" applyFont="1" applyBorder="1" applyAlignment="1">
      <alignment horizontal="center" vertical="center"/>
    </xf>
    <xf numFmtId="165" fontId="7" fillId="0" borderId="0" xfId="0" applyNumberFormat="1" applyFont="1"/>
    <xf numFmtId="166" fontId="7" fillId="0" borderId="0" xfId="1" applyNumberFormat="1" applyFont="1" applyBorder="1" applyAlignment="1">
      <alignment horizontal="center" vertical="center" wrapText="1"/>
    </xf>
    <xf numFmtId="0" fontId="15" fillId="0" borderId="0" xfId="0" applyFont="1"/>
    <xf numFmtId="166" fontId="16" fillId="0" borderId="0" xfId="0" applyNumberFormat="1" applyFont="1"/>
    <xf numFmtId="166" fontId="17" fillId="0" borderId="0" xfId="1" applyNumberFormat="1" applyFont="1"/>
    <xf numFmtId="0" fontId="17" fillId="0" borderId="0" xfId="0" applyFont="1"/>
    <xf numFmtId="0" fontId="18" fillId="0" borderId="0" xfId="0" applyFont="1" applyAlignment="1">
      <alignment horizontal="left" vertical="center"/>
    </xf>
    <xf numFmtId="9" fontId="0" fillId="0" borderId="0" xfId="4" applyFont="1" applyAlignment="1">
      <alignment horizontal="left" vertical="center"/>
    </xf>
    <xf numFmtId="10" fontId="0" fillId="0" borderId="0" xfId="4" applyNumberFormat="1" applyFont="1" applyAlignment="1">
      <alignment horizontal="left" vertical="center"/>
    </xf>
    <xf numFmtId="167" fontId="0" fillId="0" borderId="0" xfId="0" applyNumberFormat="1" applyAlignment="1">
      <alignment horizontal="left" vertical="center"/>
    </xf>
    <xf numFmtId="0" fontId="19" fillId="0" borderId="0" xfId="0" applyFont="1"/>
    <xf numFmtId="0" fontId="0" fillId="0" borderId="13" xfId="0" applyBorder="1"/>
    <xf numFmtId="10" fontId="0" fillId="0" borderId="12" xfId="0" applyNumberFormat="1" applyBorder="1"/>
    <xf numFmtId="0" fontId="7" fillId="0" borderId="14" xfId="0" applyFont="1" applyBorder="1" applyAlignment="1">
      <alignment horizontal="center"/>
    </xf>
    <xf numFmtId="0" fontId="0" fillId="0" borderId="4" xfId="0" applyBorder="1" applyAlignment="1">
      <alignment horizontal="left" vertical="center"/>
    </xf>
    <xf numFmtId="0" fontId="0" fillId="0" borderId="5" xfId="0" applyBorder="1"/>
    <xf numFmtId="0" fontId="7" fillId="0" borderId="5" xfId="0" applyFont="1" applyBorder="1" applyAlignment="1">
      <alignment horizontal="center"/>
    </xf>
    <xf numFmtId="0" fontId="0" fillId="0" borderId="6" xfId="0" applyBorder="1"/>
    <xf numFmtId="0" fontId="0" fillId="0" borderId="9" xfId="0" applyBorder="1" applyAlignment="1">
      <alignment horizontal="left" vertical="center"/>
    </xf>
    <xf numFmtId="0" fontId="0" fillId="0" borderId="11" xfId="0" applyBorder="1"/>
    <xf numFmtId="166" fontId="7" fillId="0" borderId="4" xfId="1" applyNumberFormat="1" applyFont="1" applyBorder="1" applyAlignment="1">
      <alignment horizontal="center" vertical="center" wrapText="1"/>
    </xf>
    <xf numFmtId="166" fontId="7" fillId="0" borderId="7" xfId="1" applyNumberFormat="1" applyFont="1" applyBorder="1" applyAlignment="1">
      <alignment horizontal="center" vertical="center" wrapText="1"/>
    </xf>
    <xf numFmtId="166" fontId="7" fillId="0" borderId="9" xfId="1" applyNumberFormat="1" applyFont="1" applyBorder="1" applyAlignment="1">
      <alignment horizontal="center" vertical="center" wrapText="1"/>
    </xf>
    <xf numFmtId="166" fontId="7" fillId="0" borderId="4" xfId="1" applyNumberFormat="1" applyFont="1" applyBorder="1" applyAlignment="1">
      <alignment horizontal="center" vertical="center"/>
    </xf>
    <xf numFmtId="166" fontId="7" fillId="0" borderId="7" xfId="1" applyNumberFormat="1" applyFont="1" applyBorder="1" applyAlignment="1">
      <alignment horizontal="center" vertical="center"/>
    </xf>
    <xf numFmtId="166" fontId="7" fillId="0" borderId="9" xfId="1" applyNumberFormat="1" applyFont="1" applyBorder="1" applyAlignment="1">
      <alignment horizontal="center" vertical="center"/>
    </xf>
    <xf numFmtId="0" fontId="13" fillId="0" borderId="0" xfId="0" applyFont="1" applyAlignment="1">
      <alignment horizontal="left" vertical="top" wrapText="1"/>
    </xf>
    <xf numFmtId="0" fontId="0" fillId="0" borderId="0" xfId="0" applyAlignment="1">
      <alignment horizontal="left" vertical="top" wrapText="1"/>
    </xf>
  </cellXfs>
  <cellStyles count="6">
    <cellStyle name="Millares" xfId="1" builtinId="3"/>
    <cellStyle name="Millares 2" xfId="2" xr:uid="{00000000-0005-0000-0000-000001000000}"/>
    <cellStyle name="Millares 2 2" xfId="3" xr:uid="{00000000-0005-0000-0000-000002000000}"/>
    <cellStyle name="Normal" xfId="0" builtinId="0"/>
    <cellStyle name="Normal 2" xfId="5" xr:uid="{916D2BE0-3482-45DB-975A-62BD4715E364}"/>
    <cellStyle name="Porcentaje" xfId="4" builtinId="5"/>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17145</xdr:colOff>
      <xdr:row>5</xdr:row>
      <xdr:rowOff>100965</xdr:rowOff>
    </xdr:from>
    <xdr:to>
      <xdr:col>5</xdr:col>
      <xdr:colOff>723329</xdr:colOff>
      <xdr:row>19</xdr:row>
      <xdr:rowOff>1589</xdr:rowOff>
    </xdr:to>
    <xdr:pic>
      <xdr:nvPicPr>
        <xdr:cNvPr id="2" name="Picture 1">
          <a:extLst>
            <a:ext uri="{FF2B5EF4-FFF2-40B4-BE49-F238E27FC236}">
              <a16:creationId xmlns:a16="http://schemas.microsoft.com/office/drawing/2014/main" id="{78FA2974-1E31-4D28-86E0-E82919B503BF}"/>
            </a:ext>
          </a:extLst>
        </xdr:cNvPr>
        <xdr:cNvPicPr>
          <a:picLocks noChangeAspect="1"/>
        </xdr:cNvPicPr>
      </xdr:nvPicPr>
      <xdr:blipFill>
        <a:blip xmlns:r="http://schemas.openxmlformats.org/officeDocument/2006/relationships" r:embed="rId1"/>
        <a:stretch>
          <a:fillRect/>
        </a:stretch>
      </xdr:blipFill>
      <xdr:spPr>
        <a:xfrm>
          <a:off x="17145" y="1463040"/>
          <a:ext cx="4573334" cy="2529524"/>
        </a:xfrm>
        <a:prstGeom prst="rect">
          <a:avLst/>
        </a:prstGeom>
      </xdr:spPr>
    </xdr:pic>
    <xdr:clientData/>
  </xdr:twoCellAnchor>
  <xdr:twoCellAnchor editAs="oneCell">
    <xdr:from>
      <xdr:col>7</xdr:col>
      <xdr:colOff>9525</xdr:colOff>
      <xdr:row>8</xdr:row>
      <xdr:rowOff>160020</xdr:rowOff>
    </xdr:from>
    <xdr:to>
      <xdr:col>16</xdr:col>
      <xdr:colOff>145922</xdr:colOff>
      <xdr:row>38</xdr:row>
      <xdr:rowOff>53340</xdr:rowOff>
    </xdr:to>
    <xdr:pic>
      <xdr:nvPicPr>
        <xdr:cNvPr id="3" name="Picture 2">
          <a:extLst>
            <a:ext uri="{FF2B5EF4-FFF2-40B4-BE49-F238E27FC236}">
              <a16:creationId xmlns:a16="http://schemas.microsoft.com/office/drawing/2014/main" id="{8910D8FB-208C-4D17-83FA-938432EBBAD7}"/>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743450" y="2160270"/>
          <a:ext cx="5689472" cy="53225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598170</xdr:colOff>
      <xdr:row>7</xdr:row>
      <xdr:rowOff>125730</xdr:rowOff>
    </xdr:from>
    <xdr:to>
      <xdr:col>26</xdr:col>
      <xdr:colOff>387454</xdr:colOff>
      <xdr:row>34</xdr:row>
      <xdr:rowOff>54070</xdr:rowOff>
    </xdr:to>
    <xdr:pic>
      <xdr:nvPicPr>
        <xdr:cNvPr id="4" name="Picture 3">
          <a:extLst>
            <a:ext uri="{FF2B5EF4-FFF2-40B4-BE49-F238E27FC236}">
              <a16:creationId xmlns:a16="http://schemas.microsoft.com/office/drawing/2014/main" id="{EFE4D05F-1DFC-4A8D-BC57-F8F630AED52C}"/>
            </a:ext>
          </a:extLst>
        </xdr:cNvPr>
        <xdr:cNvPicPr>
          <a:picLocks noChangeAspect="1"/>
        </xdr:cNvPicPr>
      </xdr:nvPicPr>
      <xdr:blipFill>
        <a:blip xmlns:r="http://schemas.openxmlformats.org/officeDocument/2006/relationships" r:embed="rId3"/>
        <a:stretch>
          <a:fillRect/>
        </a:stretch>
      </xdr:blipFill>
      <xdr:spPr>
        <a:xfrm>
          <a:off x="10885170" y="1945005"/>
          <a:ext cx="7466434" cy="48146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238125</xdr:colOff>
      <xdr:row>3</xdr:row>
      <xdr:rowOff>173355</xdr:rowOff>
    </xdr:from>
    <xdr:to>
      <xdr:col>14</xdr:col>
      <xdr:colOff>12191</xdr:colOff>
      <xdr:row>27</xdr:row>
      <xdr:rowOff>45126</xdr:rowOff>
    </xdr:to>
    <xdr:pic>
      <xdr:nvPicPr>
        <xdr:cNvPr id="2" name="Picture 1">
          <a:extLst>
            <a:ext uri="{FF2B5EF4-FFF2-40B4-BE49-F238E27FC236}">
              <a16:creationId xmlns:a16="http://schemas.microsoft.com/office/drawing/2014/main" id="{F7E0CAB7-C613-4011-99B4-7A5254AEC53C}"/>
            </a:ext>
          </a:extLst>
        </xdr:cNvPr>
        <xdr:cNvPicPr>
          <a:picLocks noChangeAspect="1"/>
        </xdr:cNvPicPr>
      </xdr:nvPicPr>
      <xdr:blipFill>
        <a:blip xmlns:r="http://schemas.openxmlformats.org/officeDocument/2006/relationships" r:embed="rId1"/>
        <a:stretch>
          <a:fillRect/>
        </a:stretch>
      </xdr:blipFill>
      <xdr:spPr>
        <a:xfrm>
          <a:off x="238125" y="716280"/>
          <a:ext cx="9146666" cy="4767621"/>
        </a:xfrm>
        <a:prstGeom prst="rect">
          <a:avLst/>
        </a:prstGeom>
      </xdr:spPr>
    </xdr:pic>
    <xdr:clientData/>
  </xdr:twoCellAnchor>
  <xdr:twoCellAnchor editAs="oneCell">
    <xdr:from>
      <xdr:col>0</xdr:col>
      <xdr:colOff>0</xdr:colOff>
      <xdr:row>35</xdr:row>
      <xdr:rowOff>95250</xdr:rowOff>
    </xdr:from>
    <xdr:to>
      <xdr:col>13</xdr:col>
      <xdr:colOff>322138</xdr:colOff>
      <xdr:row>57</xdr:row>
      <xdr:rowOff>133350</xdr:rowOff>
    </xdr:to>
    <xdr:pic>
      <xdr:nvPicPr>
        <xdr:cNvPr id="3" name="Picture 2">
          <a:extLst>
            <a:ext uri="{FF2B5EF4-FFF2-40B4-BE49-F238E27FC236}">
              <a16:creationId xmlns:a16="http://schemas.microsoft.com/office/drawing/2014/main" id="{34BDE278-0049-4FE2-9DAB-96B1C0C6FFB0}"/>
            </a:ext>
          </a:extLst>
        </xdr:cNvPr>
        <xdr:cNvPicPr>
          <a:picLocks noChangeAspect="1"/>
        </xdr:cNvPicPr>
      </xdr:nvPicPr>
      <xdr:blipFill>
        <a:blip xmlns:r="http://schemas.openxmlformats.org/officeDocument/2006/relationships" r:embed="rId2"/>
        <a:stretch>
          <a:fillRect/>
        </a:stretch>
      </xdr:blipFill>
      <xdr:spPr>
        <a:xfrm>
          <a:off x="0" y="6981825"/>
          <a:ext cx="8972743" cy="4011930"/>
        </a:xfrm>
        <a:prstGeom prst="rect">
          <a:avLst/>
        </a:prstGeom>
      </xdr:spPr>
    </xdr:pic>
    <xdr:clientData/>
  </xdr:twoCellAnchor>
  <xdr:twoCellAnchor editAs="oneCell">
    <xdr:from>
      <xdr:col>15</xdr:col>
      <xdr:colOff>0</xdr:colOff>
      <xdr:row>3</xdr:row>
      <xdr:rowOff>76200</xdr:rowOff>
    </xdr:from>
    <xdr:to>
      <xdr:col>22</xdr:col>
      <xdr:colOff>393617</xdr:colOff>
      <xdr:row>15</xdr:row>
      <xdr:rowOff>18714</xdr:rowOff>
    </xdr:to>
    <xdr:pic>
      <xdr:nvPicPr>
        <xdr:cNvPr id="4" name="Picture 3">
          <a:extLst>
            <a:ext uri="{FF2B5EF4-FFF2-40B4-BE49-F238E27FC236}">
              <a16:creationId xmlns:a16="http://schemas.microsoft.com/office/drawing/2014/main" id="{3D867226-250D-473B-BFA1-3FFEBCC08767}"/>
            </a:ext>
          </a:extLst>
        </xdr:cNvPr>
        <xdr:cNvPicPr>
          <a:picLocks noChangeAspect="1"/>
        </xdr:cNvPicPr>
      </xdr:nvPicPr>
      <xdr:blipFill>
        <a:blip xmlns:r="http://schemas.openxmlformats.org/officeDocument/2006/relationships" r:embed="rId3"/>
        <a:stretch>
          <a:fillRect/>
        </a:stretch>
      </xdr:blipFill>
      <xdr:spPr>
        <a:xfrm>
          <a:off x="9525000" y="624840"/>
          <a:ext cx="5742857" cy="268571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
  <sheetViews>
    <sheetView workbookViewId="0">
      <selection activeCell="A3" sqref="A3"/>
    </sheetView>
  </sheetViews>
  <sheetFormatPr baseColWidth="10" defaultColWidth="11.42578125" defaultRowHeight="15" x14ac:dyDescent="0.25"/>
  <cols>
    <col min="1" max="1" width="9.7109375" style="2" customWidth="1"/>
    <col min="2" max="2" width="138.140625" style="2" bestFit="1" customWidth="1"/>
    <col min="3" max="16384" width="11.42578125" style="2"/>
  </cols>
  <sheetData>
    <row r="1" spans="1:14" x14ac:dyDescent="0.25">
      <c r="A1" s="4" t="s">
        <v>1</v>
      </c>
    </row>
    <row r="2" spans="1:14" x14ac:dyDescent="0.25">
      <c r="A2" s="5"/>
    </row>
    <row r="3" spans="1:14" x14ac:dyDescent="0.25">
      <c r="A3" s="4" t="s">
        <v>8</v>
      </c>
    </row>
    <row r="5" spans="1:14" x14ac:dyDescent="0.25">
      <c r="A5" s="1" t="s">
        <v>2</v>
      </c>
      <c r="B5" s="1" t="s">
        <v>11</v>
      </c>
    </row>
    <row r="6" spans="1:14" x14ac:dyDescent="0.25">
      <c r="A6" s="1" t="s">
        <v>3</v>
      </c>
      <c r="B6" s="1" t="s">
        <v>12</v>
      </c>
    </row>
    <row r="7" spans="1:14" x14ac:dyDescent="0.25">
      <c r="A7" s="1" t="s">
        <v>4</v>
      </c>
      <c r="B7" s="1" t="s">
        <v>13</v>
      </c>
    </row>
    <row r="8" spans="1:14" x14ac:dyDescent="0.25">
      <c r="A8" s="1" t="s">
        <v>5</v>
      </c>
      <c r="B8" s="1" t="s">
        <v>9</v>
      </c>
      <c r="C8" s="6"/>
      <c r="D8" s="6"/>
      <c r="E8" s="6"/>
      <c r="F8" s="6"/>
      <c r="G8" s="6"/>
      <c r="H8" s="6"/>
      <c r="I8" s="6"/>
      <c r="J8" s="6"/>
      <c r="K8" s="6"/>
      <c r="L8" s="6"/>
      <c r="M8" s="6"/>
      <c r="N8" s="6"/>
    </row>
    <row r="9" spans="1:14" x14ac:dyDescent="0.25">
      <c r="A9" s="1" t="s">
        <v>6</v>
      </c>
      <c r="B9" s="1" t="s">
        <v>14</v>
      </c>
    </row>
    <row r="10" spans="1:14" x14ac:dyDescent="0.25">
      <c r="A10" s="1" t="s">
        <v>7</v>
      </c>
      <c r="B10" s="1" t="s">
        <v>10</v>
      </c>
    </row>
  </sheetData>
  <phoneticPr fontId="6" type="noConversion"/>
  <hyperlinks>
    <hyperlink ref="A5:B5" location="CuadroWEB_1!A1" display="Cuadro 1" xr:uid="{00000000-0004-0000-0000-000000000000}"/>
    <hyperlink ref="A6:B6" location="CuadroWEB_2!A1" display="Cuadro 2" xr:uid="{00000000-0004-0000-0000-000001000000}"/>
    <hyperlink ref="A7:B7" location="CuadroWEB_3!A1" display="Cuadro 3" xr:uid="{00000000-0004-0000-0000-000002000000}"/>
    <hyperlink ref="A8:B8" location="CuadroWEB_4!A1" display="Cuadro 4" xr:uid="{00000000-0004-0000-0000-000003000000}"/>
    <hyperlink ref="A9:B9" location="CuadroWEB_5!A1" display="Cuadro 5" xr:uid="{00000000-0004-0000-0000-000004000000}"/>
    <hyperlink ref="A10:B10" location="CuadroWEB_6!A1" display="Cuadro 6" xr:uid="{00000000-0004-0000-0000-000005000000}"/>
  </hyperlinks>
  <pageMargins left="0.7" right="0.7" top="0.75" bottom="0.75" header="0.3" footer="0.3"/>
  <pageSetup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79D8CF-1D49-4AF5-8B41-E974B2DAFC53}">
  <sheetPr>
    <tabColor rgb="FF0070C0"/>
  </sheetPr>
  <dimension ref="A1:S50"/>
  <sheetViews>
    <sheetView showGridLines="0" tabSelected="1" zoomScale="90" zoomScaleNormal="90" workbookViewId="0">
      <selection activeCell="E9" sqref="E9"/>
    </sheetView>
  </sheetViews>
  <sheetFormatPr baseColWidth="10" defaultColWidth="11.42578125" defaultRowHeight="15" x14ac:dyDescent="0.25"/>
  <cols>
    <col min="1" max="1" width="26.28515625" customWidth="1"/>
    <col min="2" max="2" width="12.42578125" bestFit="1" customWidth="1"/>
    <col min="3" max="3" width="11.5703125" bestFit="1" customWidth="1"/>
    <col min="4" max="9" width="12.7109375" bestFit="1" customWidth="1"/>
    <col min="10" max="11" width="12.5703125" style="18" customWidth="1"/>
    <col min="12" max="12" width="12.7109375" style="18" bestFit="1" customWidth="1"/>
    <col min="13" max="14" width="11.140625" style="18" customWidth="1"/>
    <col min="15" max="15" width="11.140625" customWidth="1"/>
    <col min="16" max="16" width="10.7109375" bestFit="1" customWidth="1"/>
    <col min="17" max="17" width="2" customWidth="1"/>
    <col min="19" max="19" width="10.140625" bestFit="1" customWidth="1"/>
    <col min="20" max="20" width="10.7109375" bestFit="1" customWidth="1"/>
  </cols>
  <sheetData>
    <row r="1" spans="1:19" ht="15.75" x14ac:dyDescent="0.25">
      <c r="A1" s="67" t="s">
        <v>87</v>
      </c>
      <c r="J1" s="12" t="s">
        <v>63</v>
      </c>
    </row>
    <row r="2" spans="1:19" ht="15.75" x14ac:dyDescent="0.25">
      <c r="A2" s="67" t="s">
        <v>91</v>
      </c>
      <c r="J2" s="12" t="s">
        <v>16</v>
      </c>
    </row>
    <row r="3" spans="1:19" x14ac:dyDescent="0.25">
      <c r="A3" s="11"/>
      <c r="G3" s="12"/>
    </row>
    <row r="4" spans="1:19" ht="15.75" thickBot="1" x14ac:dyDescent="0.3">
      <c r="A4" s="7"/>
    </row>
    <row r="5" spans="1:19" ht="15.75" thickBot="1" x14ac:dyDescent="0.3">
      <c r="N5" s="75"/>
      <c r="O5" s="76"/>
      <c r="P5" s="77" t="s">
        <v>83</v>
      </c>
      <c r="Q5" s="76"/>
      <c r="R5" s="76"/>
      <c r="S5" s="78"/>
    </row>
    <row r="6" spans="1:19" ht="16.5" thickBot="1" x14ac:dyDescent="0.3">
      <c r="A6" s="8" t="s">
        <v>58</v>
      </c>
      <c r="B6" s="9"/>
      <c r="C6" s="9"/>
      <c r="D6" s="9"/>
      <c r="E6" s="9"/>
      <c r="F6" s="9"/>
      <c r="G6" s="9"/>
      <c r="H6" s="9"/>
      <c r="I6" s="9"/>
      <c r="J6" s="9"/>
      <c r="K6" s="9"/>
      <c r="L6" s="10"/>
      <c r="N6" s="79"/>
      <c r="O6" s="25"/>
      <c r="P6" s="74" t="s">
        <v>82</v>
      </c>
      <c r="Q6" s="25"/>
      <c r="R6" s="25"/>
      <c r="S6" s="80"/>
    </row>
    <row r="7" spans="1:19" ht="15.75" thickBot="1" x14ac:dyDescent="0.3">
      <c r="A7" s="49"/>
      <c r="B7" s="50" t="s">
        <v>49</v>
      </c>
      <c r="C7" s="50" t="s">
        <v>39</v>
      </c>
      <c r="D7" s="50" t="s">
        <v>40</v>
      </c>
      <c r="E7" s="50" t="s">
        <v>41</v>
      </c>
      <c r="F7" s="50" t="s">
        <v>42</v>
      </c>
      <c r="G7" s="51" t="s">
        <v>43</v>
      </c>
      <c r="H7" s="50" t="s">
        <v>44</v>
      </c>
      <c r="I7" s="50" t="s">
        <v>45</v>
      </c>
      <c r="J7" s="50" t="s">
        <v>46</v>
      </c>
      <c r="K7" s="50" t="s">
        <v>47</v>
      </c>
      <c r="L7" s="51" t="s">
        <v>48</v>
      </c>
      <c r="P7" s="3"/>
    </row>
    <row r="8" spans="1:19" ht="15.75" thickBot="1" x14ac:dyDescent="0.3">
      <c r="A8" s="84" t="s">
        <v>51</v>
      </c>
      <c r="B8" s="19" t="s">
        <v>59</v>
      </c>
      <c r="C8" s="58">
        <v>22473</v>
      </c>
      <c r="D8" s="58">
        <v>33559</v>
      </c>
      <c r="E8" s="58">
        <v>40739</v>
      </c>
      <c r="F8" s="58">
        <v>53838</v>
      </c>
      <c r="G8" s="59">
        <v>66225</v>
      </c>
      <c r="H8" s="58">
        <v>76158.75</v>
      </c>
      <c r="I8" s="58">
        <v>85297.8</v>
      </c>
      <c r="J8" s="58">
        <v>89562.69</v>
      </c>
      <c r="K8" s="58">
        <v>91353.943800000008</v>
      </c>
      <c r="L8" s="59">
        <v>93363.999999999985</v>
      </c>
      <c r="N8" s="68">
        <f>+L8/G8-1</f>
        <v>0.40979992449981095</v>
      </c>
      <c r="P8" s="73">
        <v>8.5999999999999993E-2</v>
      </c>
      <c r="R8" t="s">
        <v>84</v>
      </c>
    </row>
    <row r="9" spans="1:19" ht="15.75" thickBot="1" x14ac:dyDescent="0.3">
      <c r="A9" s="85"/>
      <c r="D9" s="22">
        <f t="shared" ref="D9:L9" si="0">+D8/C8-1</f>
        <v>0.49330307480087221</v>
      </c>
      <c r="E9" s="22">
        <f t="shared" si="0"/>
        <v>0.21395154801990524</v>
      </c>
      <c r="F9" s="22">
        <f t="shared" si="0"/>
        <v>0.32153464738947934</v>
      </c>
      <c r="G9" s="23">
        <f t="shared" si="0"/>
        <v>0.230079126267692</v>
      </c>
      <c r="H9" s="22">
        <f t="shared" si="0"/>
        <v>0.14999999999999991</v>
      </c>
      <c r="I9" s="22">
        <f t="shared" si="0"/>
        <v>0.12000000000000011</v>
      </c>
      <c r="J9" s="22">
        <f t="shared" si="0"/>
        <v>5.0000000000000044E-2</v>
      </c>
      <c r="K9" s="22">
        <f t="shared" si="0"/>
        <v>2.0000000000000018E-2</v>
      </c>
      <c r="L9" s="23">
        <f t="shared" si="0"/>
        <v>2.2002949368016056E-2</v>
      </c>
      <c r="N9" s="69">
        <f>+N8/5</f>
        <v>8.1959984899962188E-2</v>
      </c>
      <c r="P9" s="72"/>
    </row>
    <row r="10" spans="1:19" ht="15.75" thickBot="1" x14ac:dyDescent="0.3">
      <c r="A10" s="85"/>
      <c r="B10" s="7" t="s">
        <v>23</v>
      </c>
      <c r="C10" s="45">
        <f>+'Fuente 2'!F3</f>
        <v>3205.556904400607</v>
      </c>
      <c r="D10" s="45">
        <f>+C10*(1+D11)</f>
        <v>4786.8679817905922</v>
      </c>
      <c r="E10" s="45">
        <f t="shared" ref="E10:L10" si="1">+D10*(1+E11)</f>
        <v>5811.0257966616091</v>
      </c>
      <c r="F10" s="45">
        <f t="shared" si="1"/>
        <v>7679.471927162368</v>
      </c>
      <c r="G10" s="46">
        <f t="shared" si="1"/>
        <v>9446.358118361155</v>
      </c>
      <c r="H10" s="45">
        <f t="shared" si="1"/>
        <v>10863.311836115327</v>
      </c>
      <c r="I10" s="45">
        <f t="shared" si="1"/>
        <v>12166.909256449168</v>
      </c>
      <c r="J10" s="45">
        <f t="shared" si="1"/>
        <v>12775.254719271627</v>
      </c>
      <c r="K10" s="45">
        <f t="shared" si="1"/>
        <v>13030.75981365706</v>
      </c>
      <c r="L10" s="46">
        <f t="shared" si="1"/>
        <v>13317.474962063734</v>
      </c>
      <c r="P10" s="73">
        <v>0.375</v>
      </c>
      <c r="R10" t="s">
        <v>85</v>
      </c>
    </row>
    <row r="11" spans="1:19" ht="15.75" thickBot="1" x14ac:dyDescent="0.3">
      <c r="A11" s="85"/>
      <c r="D11" s="22">
        <f>+D9</f>
        <v>0.49330307480087221</v>
      </c>
      <c r="E11" s="22">
        <f t="shared" ref="E11:L11" si="2">+E9</f>
        <v>0.21395154801990524</v>
      </c>
      <c r="F11" s="22">
        <f t="shared" si="2"/>
        <v>0.32153464738947934</v>
      </c>
      <c r="G11" s="23">
        <f t="shared" si="2"/>
        <v>0.230079126267692</v>
      </c>
      <c r="H11" s="22">
        <f t="shared" si="2"/>
        <v>0.14999999999999991</v>
      </c>
      <c r="I11" s="22">
        <f t="shared" si="2"/>
        <v>0.12000000000000011</v>
      </c>
      <c r="J11" s="22">
        <f t="shared" si="2"/>
        <v>5.0000000000000044E-2</v>
      </c>
      <c r="K11" s="22">
        <f t="shared" si="2"/>
        <v>2.0000000000000018E-2</v>
      </c>
      <c r="L11" s="23">
        <f t="shared" si="2"/>
        <v>2.2002949368016056E-2</v>
      </c>
      <c r="P11" s="72"/>
    </row>
    <row r="12" spans="1:19" ht="15.75" thickBot="1" x14ac:dyDescent="0.3">
      <c r="A12" s="85"/>
      <c r="B12" s="7" t="s">
        <v>77</v>
      </c>
      <c r="C12" s="45">
        <f>+'Fuente 2'!F13</f>
        <v>2591.7268588770867</v>
      </c>
      <c r="D12" s="45">
        <f>+C12*(1+D13)</f>
        <v>3870.2336874051598</v>
      </c>
      <c r="E12" s="45">
        <f t="shared" ref="E12" si="3">+D12*(1+E13)</f>
        <v>4698.2761760242802</v>
      </c>
      <c r="F12" s="45">
        <f t="shared" ref="F12" si="4">+E12*(1+F13)</f>
        <v>6208.9347496206383</v>
      </c>
      <c r="G12" s="46">
        <f t="shared" ref="G12" si="5">+F12*(1+G13)</f>
        <v>7637.4810318664659</v>
      </c>
      <c r="H12" s="45">
        <f t="shared" ref="H12" si="6">+G12*(1+H13)</f>
        <v>8783.1031866464346</v>
      </c>
      <c r="I12" s="45">
        <f t="shared" ref="I12" si="7">+H12*(1+I13)</f>
        <v>9837.0755690440074</v>
      </c>
      <c r="J12" s="45">
        <f t="shared" ref="J12" si="8">+I12*(1+J13)</f>
        <v>10328.929347496209</v>
      </c>
      <c r="K12" s="45">
        <f t="shared" ref="K12" si="9">+J12*(1+K13)</f>
        <v>10535.507934446134</v>
      </c>
      <c r="L12" s="46">
        <f t="shared" ref="L12" si="10">+K12*(1+L13)</f>
        <v>10767.320182094083</v>
      </c>
      <c r="P12" s="73">
        <v>3.5000000000000003E-2</v>
      </c>
    </row>
    <row r="13" spans="1:19" x14ac:dyDescent="0.25">
      <c r="A13" s="85"/>
      <c r="D13" s="22">
        <f>+D9</f>
        <v>0.49330307480087221</v>
      </c>
      <c r="E13" s="22">
        <f t="shared" ref="E13:L13" si="11">+E9</f>
        <v>0.21395154801990524</v>
      </c>
      <c r="F13" s="22">
        <f t="shared" si="11"/>
        <v>0.32153464738947934</v>
      </c>
      <c r="G13" s="23">
        <f t="shared" si="11"/>
        <v>0.230079126267692</v>
      </c>
      <c r="H13" s="22">
        <f t="shared" si="11"/>
        <v>0.14999999999999991</v>
      </c>
      <c r="I13" s="22">
        <f t="shared" si="11"/>
        <v>0.12000000000000011</v>
      </c>
      <c r="J13" s="22">
        <f t="shared" si="11"/>
        <v>5.0000000000000044E-2</v>
      </c>
      <c r="K13" s="22">
        <f t="shared" si="11"/>
        <v>2.0000000000000018E-2</v>
      </c>
      <c r="L13" s="23">
        <f t="shared" si="11"/>
        <v>2.2002949368016056E-2</v>
      </c>
    </row>
    <row r="14" spans="1:19" ht="15.75" thickBot="1" x14ac:dyDescent="0.3">
      <c r="A14" s="47"/>
      <c r="B14" s="54" t="s">
        <v>0</v>
      </c>
      <c r="C14" s="56">
        <f>+C8+C10+C12</f>
        <v>28270.283763277694</v>
      </c>
      <c r="D14" s="56">
        <f t="shared" ref="D14:L14" si="12">+D8+D10+D12</f>
        <v>42216.101669195756</v>
      </c>
      <c r="E14" s="56">
        <f t="shared" si="12"/>
        <v>51248.301972685891</v>
      </c>
      <c r="F14" s="56">
        <f t="shared" si="12"/>
        <v>67726.406676783008</v>
      </c>
      <c r="G14" s="57">
        <f t="shared" si="12"/>
        <v>83308.839150227621</v>
      </c>
      <c r="H14" s="56">
        <f t="shared" si="12"/>
        <v>95805.165022761765</v>
      </c>
      <c r="I14" s="56">
        <f t="shared" si="12"/>
        <v>107301.78482549319</v>
      </c>
      <c r="J14" s="56">
        <f t="shared" si="12"/>
        <v>112666.87406676784</v>
      </c>
      <c r="K14" s="56">
        <f t="shared" si="12"/>
        <v>114920.21154810319</v>
      </c>
      <c r="L14" s="57">
        <f t="shared" si="12"/>
        <v>117448.7951441578</v>
      </c>
    </row>
    <row r="15" spans="1:19" ht="15.75" thickBot="1" x14ac:dyDescent="0.3">
      <c r="A15" s="60"/>
      <c r="B15" s="7"/>
      <c r="C15" s="61"/>
      <c r="D15" s="61"/>
      <c r="E15" s="61"/>
      <c r="F15" s="61"/>
      <c r="G15" s="61"/>
      <c r="H15" s="61"/>
      <c r="I15" s="61"/>
      <c r="J15" s="61"/>
      <c r="K15" s="61"/>
      <c r="L15" s="61"/>
    </row>
    <row r="16" spans="1:19" ht="15.75" thickBot="1" x14ac:dyDescent="0.3">
      <c r="A16" s="49"/>
      <c r="B16" s="50" t="s">
        <v>49</v>
      </c>
      <c r="C16" s="50" t="s">
        <v>39</v>
      </c>
      <c r="D16" s="50" t="s">
        <v>40</v>
      </c>
      <c r="E16" s="50" t="s">
        <v>41</v>
      </c>
      <c r="F16" s="50" t="s">
        <v>42</v>
      </c>
      <c r="G16" s="51" t="s">
        <v>43</v>
      </c>
      <c r="H16" s="50" t="s">
        <v>44</v>
      </c>
      <c r="I16" s="50" t="s">
        <v>45</v>
      </c>
      <c r="J16" s="50" t="s">
        <v>46</v>
      </c>
      <c r="K16" s="50" t="s">
        <v>47</v>
      </c>
      <c r="L16" s="51" t="s">
        <v>48</v>
      </c>
    </row>
    <row r="17" spans="1:14" x14ac:dyDescent="0.25">
      <c r="A17" s="81" t="s">
        <v>52</v>
      </c>
      <c r="B17" s="19" t="s">
        <v>79</v>
      </c>
      <c r="C17" s="20">
        <f>+C8*0.914</f>
        <v>20540.322</v>
      </c>
      <c r="D17" s="20">
        <f t="shared" ref="D17:L17" si="13">+D8*0.914</f>
        <v>30672.925999999999</v>
      </c>
      <c r="E17" s="20">
        <f t="shared" si="13"/>
        <v>37235.446000000004</v>
      </c>
      <c r="F17" s="20">
        <f t="shared" si="13"/>
        <v>49207.932000000001</v>
      </c>
      <c r="G17" s="21">
        <f t="shared" si="13"/>
        <v>60529.65</v>
      </c>
      <c r="H17" s="20">
        <f t="shared" si="13"/>
        <v>69609.097500000003</v>
      </c>
      <c r="I17" s="20">
        <f t="shared" si="13"/>
        <v>77962.189200000008</v>
      </c>
      <c r="J17" s="20">
        <f t="shared" si="13"/>
        <v>81860.29866</v>
      </c>
      <c r="K17" s="20">
        <f t="shared" si="13"/>
        <v>83497.504633200006</v>
      </c>
      <c r="L17" s="21">
        <f t="shared" si="13"/>
        <v>85334.695999999996</v>
      </c>
      <c r="M17" s="70">
        <f>100%-P8</f>
        <v>0.91400000000000003</v>
      </c>
      <c r="N17" s="18" t="s">
        <v>86</v>
      </c>
    </row>
    <row r="18" spans="1:14" x14ac:dyDescent="0.25">
      <c r="A18" s="82"/>
      <c r="B18" s="7" t="s">
        <v>23</v>
      </c>
      <c r="C18" s="24">
        <f>+C10*0.625</f>
        <v>2003.4730652503795</v>
      </c>
      <c r="D18" s="24">
        <f t="shared" ref="D18:L18" si="14">+D10*0.625</f>
        <v>2991.7924886191204</v>
      </c>
      <c r="E18" s="24">
        <f t="shared" si="14"/>
        <v>3631.8911229135056</v>
      </c>
      <c r="F18" s="24">
        <f t="shared" si="14"/>
        <v>4799.6699544764797</v>
      </c>
      <c r="G18" s="53">
        <f t="shared" si="14"/>
        <v>5903.9738239757216</v>
      </c>
      <c r="H18" s="24">
        <f t="shared" si="14"/>
        <v>6789.5698975720788</v>
      </c>
      <c r="I18" s="24">
        <f t="shared" si="14"/>
        <v>7604.3182852807295</v>
      </c>
      <c r="J18" s="24">
        <f t="shared" si="14"/>
        <v>7984.534199544767</v>
      </c>
      <c r="K18" s="24">
        <f t="shared" si="14"/>
        <v>8144.2248835356622</v>
      </c>
      <c r="L18" s="53">
        <f t="shared" si="14"/>
        <v>8323.4218512898333</v>
      </c>
      <c r="M18" s="70">
        <f>100%-P10</f>
        <v>0.625</v>
      </c>
      <c r="N18" s="18" t="s">
        <v>86</v>
      </c>
    </row>
    <row r="19" spans="1:14" x14ac:dyDescent="0.25">
      <c r="A19" s="82"/>
      <c r="B19" s="7" t="s">
        <v>77</v>
      </c>
      <c r="C19" s="24">
        <f>+C12*0.965</f>
        <v>2501.0164188163885</v>
      </c>
      <c r="D19" s="24">
        <f t="shared" ref="D19:L19" si="15">+D12*0.965</f>
        <v>3734.7755083459792</v>
      </c>
      <c r="E19" s="24">
        <f t="shared" si="15"/>
        <v>4533.8365098634304</v>
      </c>
      <c r="F19" s="24">
        <f t="shared" si="15"/>
        <v>5991.6220333839156</v>
      </c>
      <c r="G19" s="53">
        <f t="shared" si="15"/>
        <v>7370.1691957511393</v>
      </c>
      <c r="H19" s="24">
        <f t="shared" si="15"/>
        <v>8475.6945751138082</v>
      </c>
      <c r="I19" s="24">
        <f t="shared" si="15"/>
        <v>9492.7779241274675</v>
      </c>
      <c r="J19" s="24">
        <f t="shared" si="15"/>
        <v>9967.4168203338413</v>
      </c>
      <c r="K19" s="24">
        <f t="shared" si="15"/>
        <v>10166.765156740519</v>
      </c>
      <c r="L19" s="53">
        <f t="shared" si="15"/>
        <v>10390.46397572079</v>
      </c>
      <c r="M19" s="70">
        <f>100%-P12</f>
        <v>0.96499999999999997</v>
      </c>
      <c r="N19" s="18" t="s">
        <v>86</v>
      </c>
    </row>
    <row r="20" spans="1:14" ht="15.75" thickBot="1" x14ac:dyDescent="0.3">
      <c r="A20" s="83"/>
      <c r="B20" s="54" t="s">
        <v>0</v>
      </c>
      <c r="C20" s="42">
        <f>+SUM(C17:C19)</f>
        <v>25044.811484066766</v>
      </c>
      <c r="D20" s="42">
        <f t="shared" ref="D20:L20" si="16">+SUM(D17:D19)</f>
        <v>37399.493996965095</v>
      </c>
      <c r="E20" s="42">
        <f t="shared" si="16"/>
        <v>45401.173632776939</v>
      </c>
      <c r="F20" s="42">
        <f t="shared" si="16"/>
        <v>59999.223987860394</v>
      </c>
      <c r="G20" s="55">
        <f t="shared" si="16"/>
        <v>73803.793019726858</v>
      </c>
      <c r="H20" s="42">
        <f t="shared" si="16"/>
        <v>84874.361972685889</v>
      </c>
      <c r="I20" s="42">
        <f t="shared" si="16"/>
        <v>95059.285409408214</v>
      </c>
      <c r="J20" s="42">
        <f t="shared" si="16"/>
        <v>99812.249679878616</v>
      </c>
      <c r="K20" s="42">
        <f t="shared" si="16"/>
        <v>101808.49467347618</v>
      </c>
      <c r="L20" s="55">
        <f t="shared" si="16"/>
        <v>104048.58182701062</v>
      </c>
    </row>
    <row r="21" spans="1:14" hidden="1" x14ac:dyDescent="0.25">
      <c r="A21" s="62"/>
      <c r="B21" s="7"/>
      <c r="C21" s="24">
        <f>+C20*$B$25</f>
        <v>92665802.49104704</v>
      </c>
      <c r="D21" s="24">
        <f t="shared" ref="D21:L21" si="17">+D20*$B$25</f>
        <v>138378127.78877085</v>
      </c>
      <c r="E21" s="24">
        <f t="shared" si="17"/>
        <v>167984342.44127467</v>
      </c>
      <c r="F21" s="24">
        <f t="shared" si="17"/>
        <v>221997128.75508347</v>
      </c>
      <c r="G21" s="24">
        <f t="shared" si="17"/>
        <v>273074034.17298937</v>
      </c>
      <c r="H21" s="24">
        <f t="shared" si="17"/>
        <v>314035139.2989378</v>
      </c>
      <c r="I21" s="24">
        <f t="shared" si="17"/>
        <v>351719356.01481038</v>
      </c>
      <c r="J21" s="24">
        <f t="shared" si="17"/>
        <v>369305323.81555086</v>
      </c>
      <c r="K21" s="24">
        <f t="shared" si="17"/>
        <v>376691430.29186183</v>
      </c>
      <c r="L21" s="24">
        <f t="shared" si="17"/>
        <v>384979752.75993931</v>
      </c>
    </row>
    <row r="22" spans="1:14" ht="15.75" thickBot="1" x14ac:dyDescent="0.3">
      <c r="A22" s="62"/>
      <c r="B22" s="7"/>
      <c r="C22" s="24"/>
      <c r="D22" s="24"/>
      <c r="E22" s="24"/>
      <c r="F22" s="24"/>
      <c r="G22" s="24"/>
      <c r="H22" s="24"/>
      <c r="I22" s="24"/>
      <c r="J22" s="24"/>
      <c r="K22" s="24"/>
      <c r="L22" s="24"/>
    </row>
    <row r="23" spans="1:14" ht="15.75" thickBot="1" x14ac:dyDescent="0.3">
      <c r="A23" s="49"/>
      <c r="B23" s="50" t="s">
        <v>49</v>
      </c>
      <c r="C23" s="50" t="s">
        <v>39</v>
      </c>
      <c r="D23" s="50" t="s">
        <v>40</v>
      </c>
      <c r="E23" s="50" t="s">
        <v>41</v>
      </c>
      <c r="F23" s="50" t="s">
        <v>42</v>
      </c>
      <c r="G23" s="51" t="s">
        <v>43</v>
      </c>
      <c r="H23" s="50" t="s">
        <v>44</v>
      </c>
      <c r="I23" s="50" t="s">
        <v>45</v>
      </c>
      <c r="J23" s="50" t="s">
        <v>46</v>
      </c>
      <c r="K23" s="50" t="s">
        <v>47</v>
      </c>
      <c r="L23" s="51" t="s">
        <v>48</v>
      </c>
    </row>
    <row r="24" spans="1:14" ht="15.75" thickBot="1" x14ac:dyDescent="0.3">
      <c r="A24" s="31" t="s">
        <v>56</v>
      </c>
      <c r="B24" s="28" t="s">
        <v>0</v>
      </c>
      <c r="C24" s="29">
        <f>+C20*0.04</f>
        <v>1001.7924593626707</v>
      </c>
      <c r="D24" s="29">
        <f>+D20*0.04</f>
        <v>1495.9797598786038</v>
      </c>
      <c r="E24" s="29">
        <f>+E20*0.05</f>
        <v>2270.0586816388472</v>
      </c>
      <c r="F24" s="29">
        <f>+F20*0.05</f>
        <v>2999.9611993930198</v>
      </c>
      <c r="G24" s="30">
        <f>+G20*0.06</f>
        <v>4428.2275811836116</v>
      </c>
      <c r="H24" s="29">
        <f>+H20*0.06</f>
        <v>5092.4617183611535</v>
      </c>
      <c r="I24" s="29">
        <f>+I20*0.07</f>
        <v>6654.1499786585755</v>
      </c>
      <c r="J24" s="29">
        <f>+J20*0.07</f>
        <v>6986.857477591504</v>
      </c>
      <c r="K24" s="29">
        <f>+K20*0.09</f>
        <v>9162.7645206128564</v>
      </c>
      <c r="L24" s="30">
        <f>+L20*0.1</f>
        <v>10404.858182701064</v>
      </c>
    </row>
    <row r="25" spans="1:14" hidden="1" x14ac:dyDescent="0.25">
      <c r="A25" s="35" t="s">
        <v>60</v>
      </c>
      <c r="B25" s="20">
        <v>3700</v>
      </c>
      <c r="C25" s="36">
        <f t="shared" ref="C25:K25" si="18">+C24*$B$25</f>
        <v>3706632.0996418814</v>
      </c>
      <c r="D25" s="36">
        <f t="shared" si="18"/>
        <v>5535125.111550834</v>
      </c>
      <c r="E25" s="36">
        <f t="shared" si="18"/>
        <v>8399217.1220637355</v>
      </c>
      <c r="F25" s="36">
        <f t="shared" si="18"/>
        <v>11099856.437754173</v>
      </c>
      <c r="G25" s="36">
        <f t="shared" si="18"/>
        <v>16384442.050379364</v>
      </c>
      <c r="H25" s="36">
        <f t="shared" si="18"/>
        <v>18842108.357936267</v>
      </c>
      <c r="I25" s="36">
        <f t="shared" si="18"/>
        <v>24620354.921036728</v>
      </c>
      <c r="J25" s="36">
        <f t="shared" si="18"/>
        <v>25851372.667088564</v>
      </c>
      <c r="K25" s="36">
        <f t="shared" si="18"/>
        <v>33902228.726267569</v>
      </c>
      <c r="L25" s="37">
        <f>+L24*$B$25</f>
        <v>38497975.275993936</v>
      </c>
    </row>
    <row r="26" spans="1:14" hidden="1" x14ac:dyDescent="0.25">
      <c r="A26" s="38"/>
      <c r="B26" s="24">
        <v>4500</v>
      </c>
      <c r="C26" s="39">
        <f t="shared" ref="C26:L26" si="19">+C24*$B$26</f>
        <v>4508066.0671320185</v>
      </c>
      <c r="D26" s="39">
        <f t="shared" si="19"/>
        <v>6731908.9194537168</v>
      </c>
      <c r="E26" s="39">
        <f t="shared" si="19"/>
        <v>10215264.067374812</v>
      </c>
      <c r="F26" s="39">
        <f t="shared" si="19"/>
        <v>13499825.39726859</v>
      </c>
      <c r="G26" s="39">
        <f t="shared" si="19"/>
        <v>19927024.115326252</v>
      </c>
      <c r="H26" s="39">
        <f t="shared" si="19"/>
        <v>22916077.73262519</v>
      </c>
      <c r="I26" s="39">
        <f t="shared" si="19"/>
        <v>29943674.903963588</v>
      </c>
      <c r="J26" s="39">
        <f t="shared" si="19"/>
        <v>31440858.649161767</v>
      </c>
      <c r="K26" s="39">
        <f t="shared" si="19"/>
        <v>41232440.342757851</v>
      </c>
      <c r="L26" s="40">
        <f t="shared" si="19"/>
        <v>46821861.82215479</v>
      </c>
    </row>
    <row r="27" spans="1:14" ht="15.75" hidden="1" thickBot="1" x14ac:dyDescent="0.3">
      <c r="A27" s="41"/>
      <c r="B27" s="42">
        <v>5000</v>
      </c>
      <c r="C27" s="43">
        <f t="shared" ref="C27:L27" si="20">+C24*$B$27</f>
        <v>5008962.296813353</v>
      </c>
      <c r="D27" s="43">
        <f t="shared" si="20"/>
        <v>7479898.7993930187</v>
      </c>
      <c r="E27" s="43">
        <f t="shared" si="20"/>
        <v>11350293.408194236</v>
      </c>
      <c r="F27" s="43">
        <f t="shared" si="20"/>
        <v>14999805.996965099</v>
      </c>
      <c r="G27" s="43">
        <f t="shared" si="20"/>
        <v>22141137.905918058</v>
      </c>
      <c r="H27" s="43">
        <f t="shared" si="20"/>
        <v>25462308.591805767</v>
      </c>
      <c r="I27" s="43">
        <f t="shared" si="20"/>
        <v>33270749.893292878</v>
      </c>
      <c r="J27" s="43">
        <f t="shared" si="20"/>
        <v>34934287.387957521</v>
      </c>
      <c r="K27" s="43">
        <f t="shared" si="20"/>
        <v>45813822.603064284</v>
      </c>
      <c r="L27" s="44">
        <f t="shared" si="20"/>
        <v>52024290.913505323</v>
      </c>
    </row>
    <row r="28" spans="1:14" x14ac:dyDescent="0.25">
      <c r="D28" s="17"/>
      <c r="I28" s="18"/>
      <c r="J28"/>
      <c r="K28"/>
      <c r="L28"/>
      <c r="M28"/>
      <c r="N28"/>
    </row>
    <row r="29" spans="1:14" x14ac:dyDescent="0.25">
      <c r="A29" t="s">
        <v>61</v>
      </c>
      <c r="I29" s="18"/>
      <c r="J29"/>
      <c r="K29"/>
      <c r="L29"/>
      <c r="M29"/>
      <c r="N29"/>
    </row>
    <row r="30" spans="1:14" x14ac:dyDescent="0.25">
      <c r="A30" t="s">
        <v>81</v>
      </c>
      <c r="I30" s="18"/>
      <c r="J30"/>
      <c r="K30"/>
      <c r="L30"/>
      <c r="M30"/>
      <c r="N30"/>
    </row>
    <row r="31" spans="1:14" x14ac:dyDescent="0.25">
      <c r="I31" s="18"/>
      <c r="J31"/>
      <c r="K31"/>
      <c r="L31"/>
      <c r="M31"/>
      <c r="N31"/>
    </row>
    <row r="32" spans="1:14" x14ac:dyDescent="0.25">
      <c r="A32" t="s">
        <v>64</v>
      </c>
      <c r="I32" s="18"/>
      <c r="J32"/>
      <c r="K32"/>
      <c r="L32"/>
      <c r="M32"/>
      <c r="N32"/>
    </row>
    <row r="33" spans="1:14" x14ac:dyDescent="0.25">
      <c r="I33" s="18"/>
      <c r="J33"/>
      <c r="K33"/>
      <c r="L33"/>
      <c r="M33"/>
      <c r="N33"/>
    </row>
    <row r="34" spans="1:14" x14ac:dyDescent="0.25">
      <c r="A34" t="s">
        <v>88</v>
      </c>
      <c r="I34" s="18"/>
      <c r="J34"/>
      <c r="K34"/>
      <c r="L34"/>
      <c r="M34"/>
      <c r="N34"/>
    </row>
    <row r="35" spans="1:14" x14ac:dyDescent="0.25">
      <c r="I35" s="18"/>
      <c r="J35"/>
      <c r="K35"/>
      <c r="L35"/>
      <c r="M35"/>
      <c r="N35"/>
    </row>
    <row r="36" spans="1:14" x14ac:dyDescent="0.25">
      <c r="A36" t="s">
        <v>89</v>
      </c>
      <c r="I36" s="18"/>
      <c r="J36"/>
      <c r="K36"/>
      <c r="L36"/>
      <c r="M36"/>
      <c r="N36"/>
    </row>
    <row r="37" spans="1:14" x14ac:dyDescent="0.25">
      <c r="A37" s="71" t="s">
        <v>67</v>
      </c>
      <c r="I37" s="18"/>
      <c r="J37"/>
      <c r="K37"/>
      <c r="L37"/>
      <c r="M37"/>
      <c r="N37"/>
    </row>
    <row r="38" spans="1:14" x14ac:dyDescent="0.25">
      <c r="A38" s="71" t="s">
        <v>68</v>
      </c>
      <c r="I38" s="18"/>
      <c r="J38"/>
      <c r="K38"/>
      <c r="L38"/>
      <c r="M38"/>
      <c r="N38"/>
    </row>
    <row r="39" spans="1:14" x14ac:dyDescent="0.25">
      <c r="A39" s="71" t="s">
        <v>80</v>
      </c>
      <c r="I39" s="18"/>
      <c r="J39"/>
      <c r="K39"/>
      <c r="L39"/>
      <c r="M39"/>
      <c r="N39"/>
    </row>
    <row r="40" spans="1:14" x14ac:dyDescent="0.25">
      <c r="A40" s="71" t="s">
        <v>55</v>
      </c>
      <c r="I40" s="18"/>
      <c r="J40"/>
      <c r="K40"/>
      <c r="L40"/>
      <c r="M40"/>
      <c r="N40"/>
    </row>
    <row r="41" spans="1:14" x14ac:dyDescent="0.25">
      <c r="I41" s="18"/>
      <c r="J41"/>
      <c r="K41"/>
      <c r="L41"/>
      <c r="M41"/>
      <c r="N41"/>
    </row>
    <row r="42" spans="1:14" x14ac:dyDescent="0.25">
      <c r="A42" s="7" t="s">
        <v>90</v>
      </c>
      <c r="I42" s="18"/>
      <c r="J42"/>
      <c r="K42"/>
      <c r="L42"/>
      <c r="M42"/>
      <c r="N42"/>
    </row>
    <row r="43" spans="1:14" x14ac:dyDescent="0.25">
      <c r="I43" s="18"/>
      <c r="J43"/>
      <c r="K43"/>
      <c r="L43"/>
      <c r="M43"/>
      <c r="N43"/>
    </row>
    <row r="44" spans="1:14" x14ac:dyDescent="0.25">
      <c r="I44" s="18"/>
      <c r="J44"/>
      <c r="K44"/>
      <c r="L44"/>
      <c r="M44"/>
      <c r="N44"/>
    </row>
    <row r="45" spans="1:14" x14ac:dyDescent="0.25">
      <c r="I45" s="18"/>
      <c r="J45"/>
      <c r="K45"/>
      <c r="L45"/>
      <c r="M45"/>
      <c r="N45"/>
    </row>
    <row r="46" spans="1:14" x14ac:dyDescent="0.25">
      <c r="I46" s="18"/>
      <c r="J46"/>
      <c r="K46"/>
      <c r="L46"/>
      <c r="M46"/>
      <c r="N46"/>
    </row>
    <row r="47" spans="1:14" x14ac:dyDescent="0.25">
      <c r="J47"/>
      <c r="K47"/>
      <c r="L47"/>
      <c r="M47"/>
      <c r="N47"/>
    </row>
    <row r="48" spans="1:14" x14ac:dyDescent="0.25">
      <c r="J48"/>
      <c r="K48"/>
      <c r="L48"/>
      <c r="M48"/>
      <c r="N48"/>
    </row>
    <row r="49" customFormat="1" x14ac:dyDescent="0.25"/>
    <row r="50" customFormat="1" x14ac:dyDescent="0.25"/>
  </sheetData>
  <mergeCells count="2">
    <mergeCell ref="A17:A20"/>
    <mergeCell ref="A8:A13"/>
  </mergeCells>
  <pageMargins left="0.7" right="0.7" top="0.75" bottom="0.75" header="0.3" footer="0.3"/>
  <pageSetup paperSize="9"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555B31-BD4F-4EB8-ACA0-B53033A8B989}">
  <sheetPr>
    <tabColor rgb="FF0070C0"/>
  </sheetPr>
  <dimension ref="A1:N41"/>
  <sheetViews>
    <sheetView showGridLines="0" zoomScale="90" zoomScaleNormal="90" workbookViewId="0">
      <selection activeCell="C8" sqref="C8"/>
    </sheetView>
  </sheetViews>
  <sheetFormatPr baseColWidth="10" defaultColWidth="11.42578125" defaultRowHeight="15" x14ac:dyDescent="0.25"/>
  <cols>
    <col min="1" max="1" width="34.28515625" customWidth="1"/>
    <col min="2" max="2" width="12.42578125" bestFit="1" customWidth="1"/>
    <col min="3" max="6" width="11.28515625" customWidth="1"/>
    <col min="7" max="9" width="12.140625" customWidth="1"/>
    <col min="10" max="12" width="12.140625" style="18" customWidth="1"/>
    <col min="13" max="14" width="11.140625" style="18" customWidth="1"/>
    <col min="15" max="15" width="11.140625" customWidth="1"/>
    <col min="16" max="16" width="10.7109375" bestFit="1" customWidth="1"/>
    <col min="17" max="17" width="2" customWidth="1"/>
    <col min="19" max="19" width="10.140625" bestFit="1" customWidth="1"/>
    <col min="20" max="20" width="10.7109375" bestFit="1" customWidth="1"/>
  </cols>
  <sheetData>
    <row r="1" spans="1:12" x14ac:dyDescent="0.25">
      <c r="A1" s="13" t="s">
        <v>73</v>
      </c>
      <c r="G1" s="12" t="s">
        <v>63</v>
      </c>
    </row>
    <row r="2" spans="1:12" x14ac:dyDescent="0.25">
      <c r="A2" s="13" t="s">
        <v>62</v>
      </c>
      <c r="G2" s="12" t="s">
        <v>16</v>
      </c>
    </row>
    <row r="3" spans="1:12" x14ac:dyDescent="0.25">
      <c r="A3" s="11" t="s">
        <v>15</v>
      </c>
      <c r="G3" s="12"/>
    </row>
    <row r="4" spans="1:12" x14ac:dyDescent="0.25">
      <c r="A4" s="7"/>
    </row>
    <row r="5" spans="1:12" ht="15.75" thickBot="1" x14ac:dyDescent="0.3"/>
    <row r="6" spans="1:12" ht="16.5" thickBot="1" x14ac:dyDescent="0.3">
      <c r="A6" s="8" t="s">
        <v>58</v>
      </c>
      <c r="B6" s="9"/>
      <c r="C6" s="9"/>
      <c r="D6" s="9"/>
      <c r="E6" s="9"/>
      <c r="F6" s="9"/>
      <c r="G6" s="9"/>
      <c r="H6" s="9"/>
      <c r="I6" s="9"/>
      <c r="J6" s="9"/>
      <c r="K6" s="9"/>
      <c r="L6" s="10"/>
    </row>
    <row r="7" spans="1:12" ht="15.75" thickBot="1" x14ac:dyDescent="0.3">
      <c r="A7" s="32"/>
      <c r="B7" s="33" t="s">
        <v>49</v>
      </c>
      <c r="C7" s="33" t="s">
        <v>39</v>
      </c>
      <c r="D7" s="33" t="s">
        <v>40</v>
      </c>
      <c r="E7" s="33" t="s">
        <v>41</v>
      </c>
      <c r="F7" s="33" t="s">
        <v>42</v>
      </c>
      <c r="G7" s="33" t="s">
        <v>43</v>
      </c>
      <c r="H7" s="33" t="s">
        <v>44</v>
      </c>
      <c r="I7" s="33" t="s">
        <v>45</v>
      </c>
      <c r="J7" s="33" t="s">
        <v>46</v>
      </c>
      <c r="K7" s="33" t="s">
        <v>47</v>
      </c>
      <c r="L7" s="34" t="s">
        <v>48</v>
      </c>
    </row>
    <row r="8" spans="1:12" x14ac:dyDescent="0.25">
      <c r="A8" s="84" t="s">
        <v>51</v>
      </c>
      <c r="B8" s="19" t="s">
        <v>59</v>
      </c>
      <c r="C8" s="20">
        <v>22473</v>
      </c>
      <c r="D8" s="20">
        <v>33559</v>
      </c>
      <c r="E8" s="20">
        <v>40739</v>
      </c>
      <c r="F8" s="20">
        <v>53838</v>
      </c>
      <c r="G8" s="20">
        <v>66225</v>
      </c>
      <c r="H8" s="20">
        <f>+G8*1.09</f>
        <v>72185.25</v>
      </c>
      <c r="I8" s="20">
        <f>+H8*1.08</f>
        <v>77960.070000000007</v>
      </c>
      <c r="J8" s="20">
        <f>+I8*1.07</f>
        <v>83417.274900000019</v>
      </c>
      <c r="K8" s="20">
        <f>+J8*1.06</f>
        <v>88422.311394000018</v>
      </c>
      <c r="L8" s="21">
        <v>93364</v>
      </c>
    </row>
    <row r="9" spans="1:12" x14ac:dyDescent="0.25">
      <c r="A9" s="85"/>
      <c r="D9" s="22">
        <f t="shared" ref="D9:L9" si="0">+D8/C8-1</f>
        <v>0.49330307480087221</v>
      </c>
      <c r="E9" s="22">
        <f t="shared" si="0"/>
        <v>0.21395154801990524</v>
      </c>
      <c r="F9" s="22">
        <f t="shared" si="0"/>
        <v>0.32153464738947934</v>
      </c>
      <c r="G9" s="22">
        <f t="shared" si="0"/>
        <v>0.230079126267692</v>
      </c>
      <c r="H9" s="22">
        <f t="shared" si="0"/>
        <v>9.000000000000008E-2</v>
      </c>
      <c r="I9" s="22">
        <f t="shared" si="0"/>
        <v>8.0000000000000071E-2</v>
      </c>
      <c r="J9" s="22">
        <f t="shared" si="0"/>
        <v>7.0000000000000062E-2</v>
      </c>
      <c r="K9" s="22">
        <f t="shared" si="0"/>
        <v>6.0000000000000053E-2</v>
      </c>
      <c r="L9" s="23">
        <f t="shared" si="0"/>
        <v>5.588734933630457E-2</v>
      </c>
    </row>
    <row r="10" spans="1:12" x14ac:dyDescent="0.25">
      <c r="A10" s="85"/>
      <c r="B10" s="7" t="s">
        <v>50</v>
      </c>
      <c r="C10" s="45">
        <f>+'Fuente 2'!C19</f>
        <v>36515.600727569043</v>
      </c>
      <c r="D10" s="45">
        <f t="shared" ref="D10:L10" si="1">+C10*(1+D11)</f>
        <v>54528.858844679817</v>
      </c>
      <c r="E10" s="45">
        <f t="shared" si="1"/>
        <v>66195.39260625797</v>
      </c>
      <c r="F10" s="45">
        <f t="shared" si="1"/>
        <v>87479.504826719276</v>
      </c>
      <c r="G10" s="45">
        <f t="shared" si="1"/>
        <v>107606.7128635812</v>
      </c>
      <c r="H10" s="45">
        <f t="shared" si="1"/>
        <v>117291.31702130352</v>
      </c>
      <c r="I10" s="45">
        <f t="shared" si="1"/>
        <v>126674.62238300781</v>
      </c>
      <c r="J10" s="45">
        <f t="shared" si="1"/>
        <v>135541.84594981835</v>
      </c>
      <c r="K10" s="45">
        <f t="shared" si="1"/>
        <v>143674.35670680745</v>
      </c>
      <c r="L10" s="46">
        <f t="shared" si="1"/>
        <v>151703.93567074963</v>
      </c>
    </row>
    <row r="11" spans="1:12" ht="15.75" thickBot="1" x14ac:dyDescent="0.3">
      <c r="A11" s="86"/>
      <c r="B11" s="25"/>
      <c r="C11" s="25"/>
      <c r="D11" s="26">
        <v>0.49330307480087221</v>
      </c>
      <c r="E11" s="26">
        <v>0.21395154801990524</v>
      </c>
      <c r="F11" s="26">
        <v>0.32153464738947934</v>
      </c>
      <c r="G11" s="26">
        <v>0.230079126267692</v>
      </c>
      <c r="H11" s="26">
        <v>9.000000000000008E-2</v>
      </c>
      <c r="I11" s="26">
        <v>8.0000000000000071E-2</v>
      </c>
      <c r="J11" s="26">
        <v>7.0000000000000062E-2</v>
      </c>
      <c r="K11" s="26">
        <v>6.0000000000000053E-2</v>
      </c>
      <c r="L11" s="27">
        <v>5.588734933630457E-2</v>
      </c>
    </row>
    <row r="12" spans="1:12" ht="15.75" thickBot="1" x14ac:dyDescent="0.3">
      <c r="J12"/>
      <c r="K12"/>
      <c r="L12"/>
    </row>
    <row r="13" spans="1:12" ht="15.75" thickBot="1" x14ac:dyDescent="0.3">
      <c r="A13" s="31" t="s">
        <v>52</v>
      </c>
      <c r="B13" s="28" t="s">
        <v>50</v>
      </c>
      <c r="C13" s="29">
        <f>+C10*0.1</f>
        <v>3651.5600727569044</v>
      </c>
      <c r="D13" s="29">
        <f t="shared" ref="D13:L13" si="2">+D10*0.1</f>
        <v>5452.8858844679817</v>
      </c>
      <c r="E13" s="29">
        <f t="shared" si="2"/>
        <v>6619.5392606257974</v>
      </c>
      <c r="F13" s="29">
        <f t="shared" si="2"/>
        <v>8747.9504826719276</v>
      </c>
      <c r="G13" s="29">
        <f t="shared" si="2"/>
        <v>10760.67128635812</v>
      </c>
      <c r="H13" s="29">
        <f t="shared" si="2"/>
        <v>11729.131702130353</v>
      </c>
      <c r="I13" s="29">
        <f t="shared" si="2"/>
        <v>12667.462238300781</v>
      </c>
      <c r="J13" s="29">
        <f t="shared" si="2"/>
        <v>13554.184594981836</v>
      </c>
      <c r="K13" s="29">
        <f t="shared" si="2"/>
        <v>14367.435670680745</v>
      </c>
      <c r="L13" s="30">
        <f t="shared" si="2"/>
        <v>15170.393567074963</v>
      </c>
    </row>
    <row r="14" spans="1:12" ht="15.75" thickBot="1" x14ac:dyDescent="0.3">
      <c r="A14" s="3"/>
      <c r="F14" s="18"/>
      <c r="J14"/>
      <c r="K14"/>
      <c r="L14"/>
    </row>
    <row r="15" spans="1:12" ht="15.75" thickBot="1" x14ac:dyDescent="0.3">
      <c r="A15" s="31" t="s">
        <v>56</v>
      </c>
      <c r="B15" s="28" t="s">
        <v>50</v>
      </c>
      <c r="C15" s="29">
        <f>+C13*0.03</f>
        <v>109.54680218270713</v>
      </c>
      <c r="D15" s="29">
        <f t="shared" ref="D15:E15" si="3">+D13*0.03</f>
        <v>163.58657653403944</v>
      </c>
      <c r="E15" s="29">
        <f t="shared" si="3"/>
        <v>198.5861778187739</v>
      </c>
      <c r="F15" s="29">
        <f>+F13*0.04</f>
        <v>349.91801930687711</v>
      </c>
      <c r="G15" s="29">
        <f t="shared" ref="G15:L15" si="4">+G13*0.04</f>
        <v>430.42685145432478</v>
      </c>
      <c r="H15" s="29">
        <f t="shared" si="4"/>
        <v>469.16526808521411</v>
      </c>
      <c r="I15" s="29">
        <f t="shared" si="4"/>
        <v>506.69848953203126</v>
      </c>
      <c r="J15" s="29">
        <f t="shared" si="4"/>
        <v>542.16738379927347</v>
      </c>
      <c r="K15" s="29">
        <f t="shared" si="4"/>
        <v>574.69742682722983</v>
      </c>
      <c r="L15" s="30">
        <f t="shared" si="4"/>
        <v>606.81574268299858</v>
      </c>
    </row>
    <row r="16" spans="1:12" x14ac:dyDescent="0.25">
      <c r="A16" s="35" t="s">
        <v>60</v>
      </c>
      <c r="B16" s="20">
        <v>3700</v>
      </c>
      <c r="C16" s="36">
        <f t="shared" ref="C16:K16" si="5">+C15*$B$16</f>
        <v>405323.16807601636</v>
      </c>
      <c r="D16" s="36">
        <f t="shared" si="5"/>
        <v>605270.33317594591</v>
      </c>
      <c r="E16" s="36">
        <f t="shared" si="5"/>
        <v>734768.8579294635</v>
      </c>
      <c r="F16" s="36">
        <f t="shared" si="5"/>
        <v>1294696.6714354453</v>
      </c>
      <c r="G16" s="36">
        <f t="shared" si="5"/>
        <v>1592579.3503810016</v>
      </c>
      <c r="H16" s="36">
        <f t="shared" si="5"/>
        <v>1735911.4919152921</v>
      </c>
      <c r="I16" s="36">
        <f t="shared" si="5"/>
        <v>1874784.4112685157</v>
      </c>
      <c r="J16" s="36">
        <f t="shared" si="5"/>
        <v>2006019.3200573118</v>
      </c>
      <c r="K16" s="36">
        <f t="shared" si="5"/>
        <v>2126380.4792607506</v>
      </c>
      <c r="L16" s="37">
        <f>+L15*$B$16</f>
        <v>2245218.2479270948</v>
      </c>
    </row>
    <row r="17" spans="1:14" x14ac:dyDescent="0.25">
      <c r="A17" s="38"/>
      <c r="B17" s="24">
        <v>4500</v>
      </c>
      <c r="C17" s="39">
        <f t="shared" ref="C17:L17" si="6">+C15*$B$17</f>
        <v>492960.60982218204</v>
      </c>
      <c r="D17" s="39">
        <f t="shared" si="6"/>
        <v>736139.5944031775</v>
      </c>
      <c r="E17" s="39">
        <f t="shared" si="6"/>
        <v>893637.80018448259</v>
      </c>
      <c r="F17" s="39">
        <f t="shared" si="6"/>
        <v>1574631.086880947</v>
      </c>
      <c r="G17" s="39">
        <f t="shared" si="6"/>
        <v>1936920.8315444614</v>
      </c>
      <c r="H17" s="39">
        <f t="shared" si="6"/>
        <v>2111243.7063834635</v>
      </c>
      <c r="I17" s="39">
        <f t="shared" si="6"/>
        <v>2280143.2028941405</v>
      </c>
      <c r="J17" s="39">
        <f t="shared" si="6"/>
        <v>2439753.2270967304</v>
      </c>
      <c r="K17" s="39">
        <f t="shared" si="6"/>
        <v>2586138.4207225344</v>
      </c>
      <c r="L17" s="40">
        <f t="shared" si="6"/>
        <v>2730670.8420734936</v>
      </c>
    </row>
    <row r="18" spans="1:14" ht="15.75" thickBot="1" x14ac:dyDescent="0.3">
      <c r="A18" s="41"/>
      <c r="B18" s="42">
        <v>5000</v>
      </c>
      <c r="C18" s="43">
        <f t="shared" ref="C18:L18" si="7">+C15*$B$18</f>
        <v>547734.0109135356</v>
      </c>
      <c r="D18" s="43">
        <f t="shared" si="7"/>
        <v>817932.88267019717</v>
      </c>
      <c r="E18" s="43">
        <f t="shared" si="7"/>
        <v>992930.88909386948</v>
      </c>
      <c r="F18" s="43">
        <f t="shared" si="7"/>
        <v>1749590.0965343856</v>
      </c>
      <c r="G18" s="43">
        <f t="shared" si="7"/>
        <v>2152134.2572716237</v>
      </c>
      <c r="H18" s="43">
        <f t="shared" si="7"/>
        <v>2345826.3404260706</v>
      </c>
      <c r="I18" s="43">
        <f t="shared" si="7"/>
        <v>2533492.4476601565</v>
      </c>
      <c r="J18" s="43">
        <f t="shared" si="7"/>
        <v>2710836.9189963671</v>
      </c>
      <c r="K18" s="43">
        <f t="shared" si="7"/>
        <v>2873487.1341361492</v>
      </c>
      <c r="L18" s="44">
        <f t="shared" si="7"/>
        <v>3034078.7134149927</v>
      </c>
    </row>
    <row r="19" spans="1:14" x14ac:dyDescent="0.25">
      <c r="D19" s="17"/>
      <c r="I19" s="18"/>
      <c r="J19"/>
      <c r="K19"/>
      <c r="L19"/>
      <c r="M19"/>
      <c r="N19"/>
    </row>
    <row r="20" spans="1:14" x14ac:dyDescent="0.25">
      <c r="A20" t="s">
        <v>61</v>
      </c>
      <c r="I20" s="18"/>
      <c r="J20"/>
      <c r="K20"/>
      <c r="L20"/>
      <c r="M20"/>
      <c r="N20"/>
    </row>
    <row r="21" spans="1:14" x14ac:dyDescent="0.25">
      <c r="I21" s="18"/>
      <c r="J21"/>
      <c r="K21"/>
      <c r="L21"/>
      <c r="M21"/>
      <c r="N21"/>
    </row>
    <row r="22" spans="1:14" x14ac:dyDescent="0.25">
      <c r="A22" t="s">
        <v>64</v>
      </c>
      <c r="I22" s="18"/>
      <c r="J22"/>
      <c r="K22"/>
      <c r="L22"/>
      <c r="M22"/>
      <c r="N22"/>
    </row>
    <row r="23" spans="1:14" x14ac:dyDescent="0.25">
      <c r="I23" s="18"/>
      <c r="J23"/>
      <c r="K23"/>
      <c r="L23"/>
      <c r="M23"/>
      <c r="N23"/>
    </row>
    <row r="24" spans="1:14" x14ac:dyDescent="0.25">
      <c r="A24" t="s">
        <v>65</v>
      </c>
      <c r="I24" s="18"/>
      <c r="J24"/>
      <c r="K24"/>
      <c r="L24"/>
      <c r="M24"/>
      <c r="N24"/>
    </row>
    <row r="25" spans="1:14" x14ac:dyDescent="0.25">
      <c r="I25" s="18"/>
      <c r="J25"/>
      <c r="K25"/>
      <c r="L25"/>
      <c r="M25"/>
      <c r="N25"/>
    </row>
    <row r="26" spans="1:14" x14ac:dyDescent="0.25">
      <c r="A26" t="s">
        <v>66</v>
      </c>
      <c r="I26" s="18"/>
      <c r="J26"/>
      <c r="K26"/>
      <c r="L26"/>
      <c r="M26"/>
      <c r="N26"/>
    </row>
    <row r="27" spans="1:14" x14ac:dyDescent="0.25">
      <c r="A27" t="s">
        <v>67</v>
      </c>
      <c r="I27" s="18"/>
      <c r="J27"/>
      <c r="K27"/>
      <c r="L27"/>
      <c r="M27"/>
      <c r="N27"/>
    </row>
    <row r="28" spans="1:14" x14ac:dyDescent="0.25">
      <c r="A28" t="s">
        <v>68</v>
      </c>
      <c r="I28" s="18"/>
      <c r="J28"/>
      <c r="K28"/>
      <c r="L28"/>
      <c r="M28"/>
      <c r="N28"/>
    </row>
    <row r="29" spans="1:14" x14ac:dyDescent="0.25">
      <c r="A29" t="s">
        <v>69</v>
      </c>
      <c r="I29" s="18"/>
      <c r="J29"/>
      <c r="K29"/>
      <c r="L29"/>
      <c r="M29"/>
      <c r="N29"/>
    </row>
    <row r="30" spans="1:14" x14ac:dyDescent="0.25">
      <c r="A30" t="s">
        <v>70</v>
      </c>
      <c r="I30" s="18"/>
      <c r="J30"/>
      <c r="K30"/>
      <c r="L30"/>
      <c r="M30"/>
      <c r="N30"/>
    </row>
    <row r="31" spans="1:14" x14ac:dyDescent="0.25">
      <c r="A31" t="s">
        <v>55</v>
      </c>
      <c r="I31" s="18"/>
      <c r="J31"/>
      <c r="K31"/>
      <c r="L31"/>
      <c r="M31"/>
      <c r="N31"/>
    </row>
    <row r="32" spans="1:14" x14ac:dyDescent="0.25">
      <c r="I32" s="18"/>
      <c r="J32"/>
      <c r="K32"/>
      <c r="L32"/>
      <c r="M32"/>
      <c r="N32"/>
    </row>
    <row r="33" spans="1:14" x14ac:dyDescent="0.25">
      <c r="A33" s="7" t="s">
        <v>72</v>
      </c>
      <c r="I33" s="18"/>
      <c r="J33"/>
      <c r="K33"/>
      <c r="L33"/>
      <c r="M33"/>
      <c r="N33"/>
    </row>
    <row r="34" spans="1:14" x14ac:dyDescent="0.25">
      <c r="A34" t="s">
        <v>71</v>
      </c>
      <c r="I34" s="18"/>
      <c r="J34"/>
      <c r="K34"/>
      <c r="L34"/>
      <c r="M34"/>
      <c r="N34"/>
    </row>
    <row r="35" spans="1:14" x14ac:dyDescent="0.25">
      <c r="A35" t="s">
        <v>57</v>
      </c>
      <c r="I35" s="18"/>
      <c r="J35"/>
      <c r="K35"/>
      <c r="L35"/>
      <c r="M35"/>
      <c r="N35"/>
    </row>
    <row r="36" spans="1:14" x14ac:dyDescent="0.25">
      <c r="I36" s="18"/>
      <c r="J36"/>
      <c r="K36"/>
      <c r="L36"/>
      <c r="M36"/>
      <c r="N36"/>
    </row>
    <row r="37" spans="1:14" x14ac:dyDescent="0.25">
      <c r="I37" s="18"/>
      <c r="J37"/>
      <c r="K37"/>
      <c r="L37"/>
      <c r="M37"/>
      <c r="N37"/>
    </row>
    <row r="38" spans="1:14" x14ac:dyDescent="0.25">
      <c r="J38"/>
      <c r="K38"/>
      <c r="L38"/>
      <c r="M38"/>
      <c r="N38"/>
    </row>
    <row r="39" spans="1:14" x14ac:dyDescent="0.25">
      <c r="J39"/>
      <c r="K39"/>
      <c r="L39"/>
      <c r="M39"/>
      <c r="N39"/>
    </row>
    <row r="40" spans="1:14" x14ac:dyDescent="0.25">
      <c r="J40"/>
      <c r="K40"/>
      <c r="L40"/>
      <c r="M40"/>
      <c r="N40"/>
    </row>
    <row r="41" spans="1:14" x14ac:dyDescent="0.25">
      <c r="J41"/>
      <c r="K41"/>
      <c r="L41"/>
      <c r="M41"/>
      <c r="N41"/>
    </row>
  </sheetData>
  <mergeCells count="1">
    <mergeCell ref="A8:A11"/>
  </mergeCells>
  <phoneticPr fontId="14" type="noConversion"/>
  <pageMargins left="0.7" right="0.7" top="0.75" bottom="0.75" header="0.3" footer="0.3"/>
  <pageSetup paperSize="9" scale="8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FAE8FE-F7CE-4F51-99BD-70E9B6C35D65}">
  <sheetPr>
    <tabColor rgb="FF0070C0"/>
  </sheetPr>
  <dimension ref="A1:Z53"/>
  <sheetViews>
    <sheetView showGridLines="0" workbookViewId="0">
      <selection activeCell="C20" sqref="C20"/>
    </sheetView>
  </sheetViews>
  <sheetFormatPr baseColWidth="10" defaultColWidth="11.42578125" defaultRowHeight="15" x14ac:dyDescent="0.25"/>
  <cols>
    <col min="4" max="4" width="12.140625" bestFit="1" customWidth="1"/>
    <col min="5" max="5" width="10.140625" bestFit="1" customWidth="1"/>
    <col min="6" max="6" width="10.7109375" bestFit="1" customWidth="1"/>
    <col min="7" max="7" width="2" customWidth="1"/>
    <col min="8" max="8" width="12.140625" bestFit="1" customWidth="1"/>
    <col min="9" max="9" width="10.140625" bestFit="1" customWidth="1"/>
    <col min="10" max="10" width="10.7109375" bestFit="1" customWidth="1"/>
    <col min="11" max="11" width="2.5703125" customWidth="1"/>
    <col min="13" max="13" width="10.140625" bestFit="1" customWidth="1"/>
    <col min="14" max="14" width="10.7109375" bestFit="1" customWidth="1"/>
    <col min="15" max="15" width="2" customWidth="1"/>
    <col min="17" max="17" width="10.140625" bestFit="1" customWidth="1"/>
    <col min="18" max="18" width="10.7109375" bestFit="1" customWidth="1"/>
  </cols>
  <sheetData>
    <row r="1" spans="1:26" x14ac:dyDescent="0.25">
      <c r="A1" s="7" t="s">
        <v>18</v>
      </c>
      <c r="B1" t="s">
        <v>17</v>
      </c>
    </row>
    <row r="2" spans="1:26" x14ac:dyDescent="0.25">
      <c r="A2" s="7" t="s">
        <v>19</v>
      </c>
      <c r="B2" t="s">
        <v>20</v>
      </c>
    </row>
    <row r="3" spans="1:26" x14ac:dyDescent="0.25">
      <c r="A3" s="7" t="s">
        <v>22</v>
      </c>
    </row>
    <row r="4" spans="1:26" ht="32.450000000000003" customHeight="1" x14ac:dyDescent="0.25">
      <c r="A4" s="88" t="s">
        <v>21</v>
      </c>
      <c r="B4" s="88"/>
      <c r="C4" s="88"/>
      <c r="D4" s="88"/>
      <c r="E4" s="88"/>
      <c r="F4" s="88"/>
      <c r="G4" s="88"/>
      <c r="H4" s="88"/>
      <c r="I4" s="88"/>
      <c r="J4" s="88"/>
      <c r="K4" s="88"/>
      <c r="L4" s="88"/>
    </row>
    <row r="5" spans="1:26" ht="32.450000000000003" customHeight="1" x14ac:dyDescent="0.25">
      <c r="A5" s="88"/>
      <c r="B5" s="88"/>
      <c r="C5" s="88"/>
      <c r="D5" s="88"/>
      <c r="E5" s="88"/>
      <c r="F5" s="88"/>
      <c r="G5" s="88"/>
      <c r="H5" s="88"/>
      <c r="I5" s="88"/>
      <c r="J5" s="88"/>
      <c r="K5" s="88"/>
      <c r="L5" s="88"/>
    </row>
    <row r="7" spans="1:26" ht="21.75" customHeight="1" x14ac:dyDescent="0.25">
      <c r="H7" s="87" t="s">
        <v>35</v>
      </c>
      <c r="I7" s="87"/>
      <c r="J7" s="87"/>
      <c r="K7" s="87"/>
      <c r="L7" s="87"/>
      <c r="M7" s="87"/>
      <c r="N7" s="87"/>
      <c r="O7" s="87"/>
      <c r="P7" s="87"/>
      <c r="R7" s="87" t="s">
        <v>36</v>
      </c>
      <c r="S7" s="87"/>
      <c r="T7" s="87"/>
      <c r="U7" s="87"/>
      <c r="V7" s="87"/>
      <c r="W7" s="87"/>
      <c r="X7" s="87"/>
      <c r="Y7" s="87"/>
      <c r="Z7" s="87"/>
    </row>
    <row r="8" spans="1:26" x14ac:dyDescent="0.25">
      <c r="H8" s="87"/>
      <c r="I8" s="87"/>
      <c r="J8" s="87"/>
      <c r="K8" s="87"/>
      <c r="L8" s="87"/>
      <c r="M8" s="87"/>
      <c r="N8" s="87"/>
      <c r="O8" s="87"/>
      <c r="P8" s="87"/>
      <c r="R8" s="87"/>
      <c r="S8" s="87"/>
      <c r="T8" s="87"/>
      <c r="U8" s="87"/>
      <c r="V8" s="87"/>
      <c r="W8" s="87"/>
      <c r="X8" s="87"/>
      <c r="Y8" s="87"/>
      <c r="Z8" s="87"/>
    </row>
    <row r="9" spans="1:26" x14ac:dyDescent="0.25">
      <c r="H9" s="87"/>
      <c r="I9" s="87"/>
      <c r="J9" s="87"/>
      <c r="K9" s="87"/>
      <c r="L9" s="87"/>
      <c r="M9" s="87"/>
      <c r="N9" s="87"/>
      <c r="O9" s="87"/>
      <c r="P9" s="87"/>
      <c r="R9" s="87"/>
      <c r="S9" s="87"/>
      <c r="T9" s="87"/>
      <c r="U9" s="87"/>
      <c r="V9" s="87"/>
      <c r="W9" s="87"/>
      <c r="X9" s="87"/>
      <c r="Y9" s="87"/>
      <c r="Z9" s="87"/>
    </row>
    <row r="38" spans="8:16" ht="14.45" customHeight="1" x14ac:dyDescent="0.25">
      <c r="I38" s="14"/>
      <c r="J38" s="14"/>
      <c r="K38" s="14"/>
      <c r="L38" s="14"/>
      <c r="M38" s="14"/>
      <c r="N38" s="14"/>
      <c r="O38" s="14"/>
      <c r="P38" s="14"/>
    </row>
    <row r="39" spans="8:16" ht="14.45" customHeight="1" x14ac:dyDescent="0.25">
      <c r="H39" s="14"/>
      <c r="I39" s="14"/>
      <c r="J39" s="14"/>
      <c r="K39" s="14"/>
      <c r="L39" s="14"/>
      <c r="M39" s="14"/>
      <c r="N39" s="14"/>
      <c r="O39" s="14"/>
      <c r="P39" s="14"/>
    </row>
    <row r="40" spans="8:16" x14ac:dyDescent="0.25">
      <c r="H40" s="88" t="s">
        <v>37</v>
      </c>
      <c r="I40" s="88"/>
      <c r="J40" s="88"/>
      <c r="K40" s="88"/>
      <c r="L40" s="88"/>
      <c r="M40" s="88"/>
      <c r="N40" s="88"/>
      <c r="O40" s="88"/>
      <c r="P40" s="88"/>
    </row>
    <row r="41" spans="8:16" x14ac:dyDescent="0.25">
      <c r="H41" s="88"/>
      <c r="I41" s="88"/>
      <c r="J41" s="88"/>
      <c r="K41" s="88"/>
      <c r="L41" s="88"/>
      <c r="M41" s="88"/>
      <c r="N41" s="88"/>
      <c r="O41" s="88"/>
      <c r="P41" s="88"/>
    </row>
    <row r="42" spans="8:16" x14ac:dyDescent="0.25">
      <c r="H42" s="88"/>
      <c r="I42" s="88"/>
      <c r="J42" s="88"/>
      <c r="K42" s="88"/>
      <c r="L42" s="88"/>
      <c r="M42" s="88"/>
      <c r="N42" s="88"/>
      <c r="O42" s="88"/>
      <c r="P42" s="88"/>
    </row>
    <row r="43" spans="8:16" x14ac:dyDescent="0.25">
      <c r="H43" s="88"/>
      <c r="I43" s="88"/>
      <c r="J43" s="88"/>
      <c r="K43" s="88"/>
      <c r="L43" s="88"/>
      <c r="M43" s="88"/>
      <c r="N43" s="88"/>
      <c r="O43" s="88"/>
      <c r="P43" s="88"/>
    </row>
    <row r="44" spans="8:16" x14ac:dyDescent="0.25">
      <c r="H44" s="88"/>
      <c r="I44" s="88"/>
      <c r="J44" s="88"/>
      <c r="K44" s="88"/>
      <c r="L44" s="88"/>
      <c r="M44" s="88"/>
      <c r="N44" s="88"/>
      <c r="O44" s="88"/>
      <c r="P44" s="88"/>
    </row>
    <row r="45" spans="8:16" x14ac:dyDescent="0.25">
      <c r="H45" s="88"/>
      <c r="I45" s="88"/>
      <c r="J45" s="88"/>
      <c r="K45" s="88"/>
      <c r="L45" s="88"/>
      <c r="M45" s="88"/>
      <c r="N45" s="88"/>
      <c r="O45" s="88"/>
      <c r="P45" s="88"/>
    </row>
    <row r="46" spans="8:16" x14ac:dyDescent="0.25">
      <c r="H46" s="88"/>
      <c r="I46" s="88"/>
      <c r="J46" s="88"/>
      <c r="K46" s="88"/>
      <c r="L46" s="88"/>
      <c r="M46" s="88"/>
      <c r="N46" s="88"/>
      <c r="O46" s="88"/>
      <c r="P46" s="88"/>
    </row>
    <row r="47" spans="8:16" x14ac:dyDescent="0.25">
      <c r="H47" s="88"/>
      <c r="I47" s="88"/>
      <c r="J47" s="88"/>
      <c r="K47" s="88"/>
      <c r="L47" s="88"/>
      <c r="M47" s="88"/>
      <c r="N47" s="88"/>
      <c r="O47" s="88"/>
      <c r="P47" s="88"/>
    </row>
    <row r="48" spans="8:16" x14ac:dyDescent="0.25">
      <c r="H48" s="88"/>
      <c r="I48" s="88"/>
      <c r="J48" s="88"/>
      <c r="K48" s="88"/>
      <c r="L48" s="88"/>
      <c r="M48" s="88"/>
      <c r="N48" s="88"/>
      <c r="O48" s="88"/>
      <c r="P48" s="88"/>
    </row>
    <row r="49" spans="8:16" x14ac:dyDescent="0.25">
      <c r="H49" s="88"/>
      <c r="I49" s="88"/>
      <c r="J49" s="88"/>
      <c r="K49" s="88"/>
      <c r="L49" s="88"/>
      <c r="M49" s="88"/>
      <c r="N49" s="88"/>
      <c r="O49" s="88"/>
      <c r="P49" s="88"/>
    </row>
    <row r="50" spans="8:16" x14ac:dyDescent="0.25">
      <c r="H50" s="88"/>
      <c r="I50" s="88"/>
      <c r="J50" s="88"/>
      <c r="K50" s="88"/>
      <c r="L50" s="88"/>
      <c r="M50" s="88"/>
      <c r="N50" s="88"/>
      <c r="O50" s="88"/>
      <c r="P50" s="88"/>
    </row>
    <row r="51" spans="8:16" x14ac:dyDescent="0.25">
      <c r="H51" s="88"/>
      <c r="I51" s="88"/>
      <c r="J51" s="88"/>
      <c r="K51" s="88"/>
      <c r="L51" s="88"/>
      <c r="M51" s="88"/>
      <c r="N51" s="88"/>
      <c r="O51" s="88"/>
      <c r="P51" s="88"/>
    </row>
    <row r="52" spans="8:16" x14ac:dyDescent="0.25">
      <c r="H52" s="88"/>
      <c r="I52" s="88"/>
      <c r="J52" s="88"/>
      <c r="K52" s="88"/>
      <c r="L52" s="88"/>
      <c r="M52" s="88"/>
      <c r="N52" s="88"/>
      <c r="O52" s="88"/>
      <c r="P52" s="88"/>
    </row>
    <row r="53" spans="8:16" x14ac:dyDescent="0.25">
      <c r="H53" t="s">
        <v>38</v>
      </c>
      <c r="I53" s="14"/>
      <c r="J53" s="14"/>
      <c r="K53" s="14"/>
      <c r="L53" s="14"/>
      <c r="M53" s="14"/>
      <c r="N53" s="14"/>
      <c r="O53" s="14"/>
      <c r="P53" s="14"/>
    </row>
  </sheetData>
  <mergeCells count="4">
    <mergeCell ref="R7:Z9"/>
    <mergeCell ref="H40:P52"/>
    <mergeCell ref="A4:L5"/>
    <mergeCell ref="H7:P9"/>
  </mergeCells>
  <pageMargins left="0.7" right="0.7" top="0.75" bottom="0.75" header="0.3" footer="0.3"/>
  <pageSetup paperSize="9" scale="8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12193F-349F-442D-9EBA-048183342497}">
  <sheetPr>
    <tabColor rgb="FF0070C0"/>
  </sheetPr>
  <dimension ref="A1:F19"/>
  <sheetViews>
    <sheetView showGridLines="0" workbookViewId="0">
      <selection activeCell="F13" sqref="F13"/>
    </sheetView>
  </sheetViews>
  <sheetFormatPr baseColWidth="10" defaultColWidth="9.140625" defaultRowHeight="15" x14ac:dyDescent="0.25"/>
  <cols>
    <col min="1" max="1" width="17.140625" customWidth="1"/>
    <col min="2" max="2" width="12.42578125" bestFit="1" customWidth="1"/>
    <col min="4" max="5" width="12.42578125" bestFit="1" customWidth="1"/>
    <col min="6" max="6" width="31" bestFit="1" customWidth="1"/>
  </cols>
  <sheetData>
    <row r="1" spans="1:6" x14ac:dyDescent="0.25">
      <c r="A1" s="7" t="s">
        <v>53</v>
      </c>
    </row>
    <row r="2" spans="1:6" x14ac:dyDescent="0.25">
      <c r="E2" t="s">
        <v>74</v>
      </c>
      <c r="F2" s="7" t="s">
        <v>78</v>
      </c>
    </row>
    <row r="3" spans="1:6" x14ac:dyDescent="0.25">
      <c r="A3" s="15" t="s">
        <v>23</v>
      </c>
      <c r="B3" s="16">
        <v>47000000</v>
      </c>
      <c r="C3" s="16"/>
      <c r="D3" s="65">
        <f>+B3</f>
        <v>47000000</v>
      </c>
      <c r="E3" s="16">
        <f>+B3</f>
        <v>47000000</v>
      </c>
      <c r="F3" s="52">
        <f>+(E3*'Forecast US + Arg + Canadá'!$C$8/'Fuente 2'!$B$14)</f>
        <v>3205.556904400607</v>
      </c>
    </row>
    <row r="4" spans="1:6" hidden="1" x14ac:dyDescent="0.25">
      <c r="A4" s="15" t="s">
        <v>24</v>
      </c>
      <c r="B4" s="16">
        <v>132820000</v>
      </c>
      <c r="C4" s="16"/>
      <c r="D4" s="65">
        <f t="shared" ref="D4:D12" si="0">+B4</f>
        <v>132820000</v>
      </c>
      <c r="F4" s="52">
        <f>+(D4*'Forecast US + Arg + Canadá'!$C$8/'Fuente 2'!$B$14)</f>
        <v>9058.7674051593331</v>
      </c>
    </row>
    <row r="5" spans="1:6" hidden="1" x14ac:dyDescent="0.25">
      <c r="A5" s="15" t="s">
        <v>25</v>
      </c>
      <c r="B5" s="16">
        <v>50882884</v>
      </c>
      <c r="C5" s="16"/>
      <c r="D5" s="65">
        <f t="shared" si="0"/>
        <v>50882884</v>
      </c>
      <c r="F5" s="52">
        <f>+(D5*'Forecast US + Arg + Canadá'!$C$8/'Fuente 2'!$B$14)</f>
        <v>3470.3825557875571</v>
      </c>
    </row>
    <row r="6" spans="1:6" hidden="1" x14ac:dyDescent="0.25">
      <c r="A6" s="15" t="s">
        <v>26</v>
      </c>
      <c r="B6" s="16">
        <v>33105273</v>
      </c>
      <c r="C6" s="16"/>
      <c r="D6" s="65">
        <f t="shared" si="0"/>
        <v>33105273</v>
      </c>
      <c r="F6" s="52">
        <f>+(D6*'Forecast US + Arg + Canadá'!$C$8/'Fuente 2'!$B$14)</f>
        <v>2257.8901369620639</v>
      </c>
    </row>
    <row r="7" spans="1:6" hidden="1" x14ac:dyDescent="0.25">
      <c r="A7" s="15" t="s">
        <v>27</v>
      </c>
      <c r="B7" s="16">
        <v>19116209</v>
      </c>
      <c r="C7" s="16"/>
      <c r="D7" s="65">
        <f t="shared" si="0"/>
        <v>19116209</v>
      </c>
      <c r="F7" s="52">
        <f>+(D7*'Forecast US + Arg + Canadá'!$C$8/'Fuente 2'!$B$14)</f>
        <v>1303.7892711896814</v>
      </c>
    </row>
    <row r="8" spans="1:6" hidden="1" x14ac:dyDescent="0.25">
      <c r="A8" s="15" t="s">
        <v>28</v>
      </c>
      <c r="B8" s="16">
        <v>17643060</v>
      </c>
      <c r="C8" s="16"/>
      <c r="D8" s="65">
        <f t="shared" si="0"/>
        <v>17643060</v>
      </c>
      <c r="F8" s="52">
        <f>+(D8*'Forecast US + Arg + Canadá'!$C$8/'Fuente 2'!$B$14)</f>
        <v>1203.3155914415781</v>
      </c>
    </row>
    <row r="9" spans="1:6" hidden="1" x14ac:dyDescent="0.25">
      <c r="A9" s="15" t="s">
        <v>29</v>
      </c>
      <c r="B9" s="16">
        <v>11673029</v>
      </c>
      <c r="C9" s="16"/>
      <c r="D9" s="65">
        <f t="shared" si="0"/>
        <v>11673029</v>
      </c>
      <c r="F9" s="52">
        <f>+(D9*'Forecast US + Arg + Canadá'!$C$8/'Fuente 2'!$B$14)</f>
        <v>796.1395469408194</v>
      </c>
    </row>
    <row r="10" spans="1:6" hidden="1" x14ac:dyDescent="0.25">
      <c r="A10" s="15" t="s">
        <v>30</v>
      </c>
      <c r="B10" s="16">
        <v>7152703</v>
      </c>
      <c r="C10" s="16"/>
      <c r="D10" s="65">
        <f t="shared" si="0"/>
        <v>7152703</v>
      </c>
      <c r="F10" s="52">
        <f>+(D10*'Forecast US + Arg + Canadá'!$C$8/'Fuente 2'!$B$14)</f>
        <v>487.83822312291352</v>
      </c>
    </row>
    <row r="11" spans="1:6" hidden="1" x14ac:dyDescent="0.25">
      <c r="A11" s="15" t="s">
        <v>31</v>
      </c>
      <c r="B11" s="16">
        <v>3400000</v>
      </c>
      <c r="C11" s="16"/>
      <c r="D11" s="65">
        <f t="shared" si="0"/>
        <v>3400000</v>
      </c>
      <c r="F11" s="52">
        <f>+(D11*'Forecast US + Arg + Canadá'!$C$8/'Fuente 2'!$B$14)</f>
        <v>231.89135053110775</v>
      </c>
    </row>
    <row r="12" spans="1:6" hidden="1" x14ac:dyDescent="0.25">
      <c r="A12" s="15" t="s">
        <v>32</v>
      </c>
      <c r="B12" s="16">
        <v>212600000</v>
      </c>
      <c r="C12" s="16"/>
      <c r="D12" s="65">
        <f t="shared" si="0"/>
        <v>212600000</v>
      </c>
      <c r="F12" s="52">
        <f>+(D12*'Forecast US + Arg + Canadá'!$C$8/'Fuente 2'!$B$14)</f>
        <v>14500.029742033385</v>
      </c>
    </row>
    <row r="13" spans="1:6" x14ac:dyDescent="0.25">
      <c r="A13" s="15" t="s">
        <v>75</v>
      </c>
      <c r="B13" s="16">
        <v>38000000</v>
      </c>
      <c r="C13" s="16"/>
      <c r="D13" s="65"/>
      <c r="E13" s="48">
        <f>+B13</f>
        <v>38000000</v>
      </c>
      <c r="F13" s="52">
        <f>+(E13*'Forecast US + Arg + Canadá'!$C$8/'Fuente 2'!$B$14)</f>
        <v>2591.7268588770867</v>
      </c>
    </row>
    <row r="14" spans="1:6" x14ac:dyDescent="0.25">
      <c r="A14" s="15" t="s">
        <v>76</v>
      </c>
      <c r="B14" s="16">
        <v>329500000</v>
      </c>
      <c r="C14" s="16"/>
      <c r="D14" s="65"/>
      <c r="E14" s="48">
        <f>+B14</f>
        <v>329500000</v>
      </c>
      <c r="F14" s="52">
        <f>+(E14*'Forecast US + Arg + Canadá'!$C$8/'Fuente 2'!$B$14)</f>
        <v>22473</v>
      </c>
    </row>
    <row r="15" spans="1:6" x14ac:dyDescent="0.25">
      <c r="A15" s="15"/>
      <c r="B15" s="16"/>
      <c r="C15" s="16"/>
      <c r="D15" s="65"/>
    </row>
    <row r="16" spans="1:6" x14ac:dyDescent="0.25">
      <c r="C16" s="17"/>
      <c r="D16" s="66"/>
    </row>
    <row r="17" spans="1:5" x14ac:dyDescent="0.25">
      <c r="A17" s="15" t="s">
        <v>0</v>
      </c>
      <c r="B17" s="17">
        <f>+SUM(B3:B12)</f>
        <v>535393158</v>
      </c>
      <c r="D17" s="64">
        <f>+SUM(D3:D14)</f>
        <v>535393158</v>
      </c>
      <c r="E17" s="17">
        <f>+SUM(E3:E14)</f>
        <v>414500000</v>
      </c>
    </row>
    <row r="18" spans="1:5" x14ac:dyDescent="0.25">
      <c r="D18" s="66"/>
    </row>
    <row r="19" spans="1:5" x14ac:dyDescent="0.25">
      <c r="A19" s="63" t="s">
        <v>33</v>
      </c>
      <c r="B19" s="64">
        <v>329500000</v>
      </c>
      <c r="C19" s="64">
        <f>+(B17*Forecast!C8)/B19</f>
        <v>36515.600727569043</v>
      </c>
      <c r="D19" s="66"/>
    </row>
  </sheetData>
  <pageMargins left="0.7" right="0.7" top="0.75" bottom="0.75" header="0.3" footer="0.3"/>
  <pageSetup orientation="portrait" horizontalDpi="200" verticalDpi="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9A2A0-C211-48BB-A89D-4CB54DE8A25C}">
  <sheetPr>
    <tabColor rgb="FF0070C0"/>
  </sheetPr>
  <dimension ref="A1:L35"/>
  <sheetViews>
    <sheetView showGridLines="0" workbookViewId="0">
      <selection activeCell="Q2" sqref="Q2"/>
    </sheetView>
  </sheetViews>
  <sheetFormatPr baseColWidth="10" defaultColWidth="11.42578125" defaultRowHeight="15" x14ac:dyDescent="0.25"/>
  <cols>
    <col min="4" max="4" width="12.140625" bestFit="1" customWidth="1"/>
    <col min="5" max="5" width="10.140625" bestFit="1" customWidth="1"/>
    <col min="6" max="6" width="10.7109375" bestFit="1" customWidth="1"/>
    <col min="7" max="7" width="2" customWidth="1"/>
    <col min="8" max="8" width="12.140625" bestFit="1" customWidth="1"/>
    <col min="9" max="9" width="10.140625" bestFit="1" customWidth="1"/>
    <col min="10" max="10" width="10.7109375" bestFit="1" customWidth="1"/>
    <col min="11" max="11" width="2.5703125" customWidth="1"/>
    <col min="13" max="13" width="10.140625" bestFit="1" customWidth="1"/>
    <col min="14" max="14" width="10.7109375" bestFit="1" customWidth="1"/>
    <col min="15" max="15" width="2" customWidth="1"/>
    <col min="17" max="17" width="10.140625" bestFit="1" customWidth="1"/>
    <col min="18" max="18" width="10.7109375" bestFit="1" customWidth="1"/>
  </cols>
  <sheetData>
    <row r="1" spans="1:12" x14ac:dyDescent="0.25">
      <c r="A1" s="7" t="s">
        <v>34</v>
      </c>
    </row>
    <row r="2" spans="1:12" x14ac:dyDescent="0.25">
      <c r="A2" s="7" t="s">
        <v>18</v>
      </c>
      <c r="B2" t="s">
        <v>17</v>
      </c>
    </row>
    <row r="3" spans="1:12" x14ac:dyDescent="0.25">
      <c r="A3" s="7" t="s">
        <v>19</v>
      </c>
      <c r="B3" t="s">
        <v>20</v>
      </c>
    </row>
    <row r="4" spans="1:12" ht="32.450000000000003" customHeight="1" x14ac:dyDescent="0.25">
      <c r="A4" s="88"/>
      <c r="B4" s="88"/>
      <c r="C4" s="88"/>
      <c r="D4" s="88"/>
      <c r="E4" s="88"/>
      <c r="F4" s="88"/>
      <c r="G4" s="88"/>
      <c r="H4" s="88"/>
      <c r="I4" s="88"/>
      <c r="J4" s="88"/>
      <c r="K4" s="88"/>
      <c r="L4" s="88"/>
    </row>
    <row r="5" spans="1:12" ht="32.450000000000003" customHeight="1" x14ac:dyDescent="0.25">
      <c r="A5" s="88"/>
      <c r="B5" s="88"/>
      <c r="C5" s="88"/>
      <c r="D5" s="88"/>
      <c r="E5" s="88"/>
      <c r="F5" s="88"/>
      <c r="G5" s="88"/>
      <c r="H5" s="88"/>
      <c r="I5" s="88"/>
      <c r="J5" s="88"/>
      <c r="K5" s="88"/>
      <c r="L5" s="88"/>
    </row>
    <row r="7" spans="1:12" ht="21.75" customHeight="1" x14ac:dyDescent="0.25"/>
    <row r="35" spans="1:1" x14ac:dyDescent="0.25">
      <c r="A35" s="7" t="s">
        <v>54</v>
      </c>
    </row>
  </sheetData>
  <mergeCells count="1">
    <mergeCell ref="A4:L5"/>
  </mergeCells>
  <pageMargins left="0.7" right="0.7" top="0.75" bottom="0.75" header="0.3" footer="0.3"/>
  <pageSetup paperSize="9" scale="80"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2</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Indice</vt:lpstr>
      <vt:lpstr>Forecast US + Arg + Canadá</vt:lpstr>
      <vt:lpstr>Forecast</vt:lpstr>
      <vt:lpstr>Fuente TAM 1</vt:lpstr>
      <vt:lpstr>Fuente 2</vt:lpstr>
      <vt:lpstr>Fuente 3</vt:lpstr>
      <vt:lpstr>Forecast!Área_de_impresión</vt:lpstr>
      <vt:lpstr>'Forecast US + Arg + Canadá'!Área_de_impresión</vt:lpstr>
      <vt:lpstr>'Fuente 3'!Área_de_impresión</vt:lpstr>
      <vt:lpstr>'Fuente TAM 1'!Área_de_impresión</vt:lpstr>
    </vt:vector>
  </TitlesOfParts>
  <Company>INDEC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Alumna: Mariana Acuña Ladrón de Guevara</dc:creator>
  <cp:lastModifiedBy>Hemeroteca</cp:lastModifiedBy>
  <dcterms:created xsi:type="dcterms:W3CDTF">2019-11-07T19:19:49Z</dcterms:created>
  <dcterms:modified xsi:type="dcterms:W3CDTF">2023-07-06T15:14:20Z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c9bec58-8084-492e-8360-0e1cfe36408c_Enabled">
    <vt:lpwstr>true</vt:lpwstr>
  </property>
  <property fmtid="{D5CDD505-2E9C-101B-9397-08002B2CF9AE}" pid="3" name="MSIP_Label_3c9bec58-8084-492e-8360-0e1cfe36408c_SetDate">
    <vt:lpwstr>2022-06-02T20:15:28Z</vt:lpwstr>
  </property>
  <property fmtid="{D5CDD505-2E9C-101B-9397-08002B2CF9AE}" pid="4" name="MSIP_Label_3c9bec58-8084-492e-8360-0e1cfe36408c_Method">
    <vt:lpwstr>Standard</vt:lpwstr>
  </property>
  <property fmtid="{D5CDD505-2E9C-101B-9397-08002B2CF9AE}" pid="5" name="MSIP_Label_3c9bec58-8084-492e-8360-0e1cfe36408c_Name">
    <vt:lpwstr>Not Protected -Pilot</vt:lpwstr>
  </property>
  <property fmtid="{D5CDD505-2E9C-101B-9397-08002B2CF9AE}" pid="6" name="MSIP_Label_3c9bec58-8084-492e-8360-0e1cfe36408c_SiteId">
    <vt:lpwstr>f35a6974-607f-47d4-82d7-ff31d7dc53a5</vt:lpwstr>
  </property>
  <property fmtid="{D5CDD505-2E9C-101B-9397-08002B2CF9AE}" pid="7" name="MSIP_Label_3c9bec58-8084-492e-8360-0e1cfe36408c_ActionId">
    <vt:lpwstr>a0d4609c-2877-41b4-8d5c-fed5082a27a9</vt:lpwstr>
  </property>
  <property fmtid="{D5CDD505-2E9C-101B-9397-08002B2CF9AE}" pid="8" name="MSIP_Label_3c9bec58-8084-492e-8360-0e1cfe36408c_ContentBits">
    <vt:lpwstr>0</vt:lpwstr>
  </property>
</Properties>
</file>