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Users\hemeroteca\Desktop\Repositorio Digital\TESIS DIGITAL\Posgrados\Maestría en Marketing y Comunicación\WATERMARKED PDF\"/>
    </mc:Choice>
  </mc:AlternateContent>
  <xr:revisionPtr revIDLastSave="0" documentId="8_{1D0B3B84-991C-458D-88FA-60DCC79268CB}" xr6:coauthVersionLast="47" xr6:coauthVersionMax="47" xr10:uidLastSave="{00000000-0000-0000-0000-000000000000}"/>
  <bookViews>
    <workbookView xWindow="-120" yWindow="-120" windowWidth="21840" windowHeight="13140" xr2:uid="{00000000-000D-0000-FFFF-FFFF00000000}"/>
  </bookViews>
  <sheets>
    <sheet name="Evolución Ventas Logros" sheetId="4" r:id="rId1"/>
    <sheet name="Simulación" sheetId="1" r:id="rId2"/>
    <sheet name="Métricas" sheetId="2" state="hidden" r:id="rId3"/>
    <sheet name="Ajuste del Segmento" sheetId="3" r:id="rId4"/>
    <sheet name="Comparativo"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4" i="4" l="1"/>
  <c r="J66" i="4"/>
  <c r="I67" i="4"/>
  <c r="J68" i="4" s="1"/>
  <c r="I63" i="4"/>
  <c r="J63" i="4" s="1"/>
  <c r="J67" i="4" l="1"/>
  <c r="I65" i="4"/>
  <c r="I69" i="4" l="1"/>
  <c r="J65" i="4"/>
  <c r="H56" i="4" l="1"/>
  <c r="C48" i="1" l="1"/>
  <c r="E47" i="1" s="1"/>
  <c r="E46" i="1" l="1"/>
  <c r="E45" i="1"/>
  <c r="E44" i="1"/>
  <c r="D25" i="5"/>
  <c r="E25" i="5" s="1"/>
  <c r="F25" i="5" s="1"/>
  <c r="G25" i="5" s="1"/>
  <c r="H25" i="5" s="1"/>
  <c r="I25" i="5" s="1"/>
  <c r="J25" i="5" s="1"/>
  <c r="K25" i="5" s="1"/>
  <c r="L25" i="5" s="1"/>
  <c r="M25" i="5" s="1"/>
  <c r="N25" i="5" s="1"/>
  <c r="D11" i="5"/>
  <c r="O11" i="5" s="1"/>
  <c r="E11" i="5"/>
  <c r="F11" i="5"/>
  <c r="G11" i="5"/>
  <c r="H11" i="5"/>
  <c r="I11" i="5"/>
  <c r="J11" i="5"/>
  <c r="K11" i="5"/>
  <c r="L11" i="5"/>
  <c r="M11" i="5"/>
  <c r="N11" i="5"/>
  <c r="D12" i="5"/>
  <c r="O12" i="5" s="1"/>
  <c r="E12" i="5"/>
  <c r="F12" i="5"/>
  <c r="G12" i="5"/>
  <c r="H12" i="5"/>
  <c r="I12" i="5"/>
  <c r="J12" i="5"/>
  <c r="K12" i="5"/>
  <c r="L12" i="5"/>
  <c r="M12" i="5"/>
  <c r="N12" i="5"/>
  <c r="D13" i="5"/>
  <c r="O13" i="5" s="1"/>
  <c r="E13" i="5"/>
  <c r="F13" i="5"/>
  <c r="G13" i="5"/>
  <c r="H13" i="5"/>
  <c r="I13" i="5"/>
  <c r="J13" i="5"/>
  <c r="K13" i="5"/>
  <c r="L13" i="5"/>
  <c r="M13" i="5"/>
  <c r="N13" i="5"/>
  <c r="E10" i="5"/>
  <c r="F10" i="5"/>
  <c r="G10" i="5"/>
  <c r="H10" i="5"/>
  <c r="I10" i="5"/>
  <c r="J10" i="5"/>
  <c r="K10" i="5"/>
  <c r="L10" i="5"/>
  <c r="M10" i="5"/>
  <c r="N10" i="5"/>
  <c r="D10" i="5"/>
  <c r="O10" i="5" s="1"/>
  <c r="D23" i="5"/>
  <c r="E23" i="5" s="1"/>
  <c r="F23" i="5" s="1"/>
  <c r="G23" i="5" s="1"/>
  <c r="H23" i="5" s="1"/>
  <c r="I23" i="5" s="1"/>
  <c r="J23" i="5" s="1"/>
  <c r="K23" i="5" s="1"/>
  <c r="L23" i="5" s="1"/>
  <c r="M23" i="5" s="1"/>
  <c r="N23" i="5" s="1"/>
  <c r="P23" i="5" s="1"/>
  <c r="D22" i="5"/>
  <c r="E22" i="5" s="1"/>
  <c r="F22" i="5" s="1"/>
  <c r="G22" i="5" s="1"/>
  <c r="H22" i="5" s="1"/>
  <c r="I22" i="5" s="1"/>
  <c r="J22" i="5" s="1"/>
  <c r="K22" i="5" s="1"/>
  <c r="L22" i="5" s="1"/>
  <c r="M22" i="5" s="1"/>
  <c r="N22" i="5" s="1"/>
  <c r="P22" i="5" s="1"/>
  <c r="D30" i="5"/>
  <c r="D21" i="5"/>
  <c r="E21" i="5" s="1"/>
  <c r="F21" i="5" s="1"/>
  <c r="G21" i="5" s="1"/>
  <c r="H21" i="5" s="1"/>
  <c r="I21" i="5" s="1"/>
  <c r="J21" i="5" s="1"/>
  <c r="K21" i="5" s="1"/>
  <c r="L21" i="5" s="1"/>
  <c r="M21" i="5" s="1"/>
  <c r="N21" i="5" s="1"/>
  <c r="P21" i="5" s="1"/>
  <c r="C31" i="5"/>
  <c r="C32" i="5"/>
  <c r="C33" i="5"/>
  <c r="C30" i="5"/>
  <c r="O8" i="5"/>
  <c r="O7" i="5"/>
  <c r="O6" i="5"/>
  <c r="O5" i="5"/>
  <c r="B4" i="4" l="1"/>
  <c r="C27" i="2" l="1"/>
  <c r="C25" i="2"/>
  <c r="C23" i="2"/>
  <c r="F7" i="2" l="1"/>
  <c r="G7" i="2" s="1"/>
  <c r="F10" i="2"/>
  <c r="G10" i="2" s="1"/>
  <c r="F11" i="2"/>
  <c r="G11" i="2" s="1"/>
  <c r="F16" i="2"/>
  <c r="G16" i="2" s="1"/>
  <c r="F14" i="2"/>
  <c r="F9" i="2"/>
  <c r="G9" i="2" s="1"/>
  <c r="M33" i="4"/>
  <c r="G14" i="2" l="1"/>
  <c r="C12" i="2" l="1"/>
  <c r="C14" i="2"/>
  <c r="C15" i="2"/>
  <c r="C17" i="2" l="1"/>
  <c r="C18" i="2" s="1"/>
  <c r="C19" i="2" s="1"/>
  <c r="F8" i="2"/>
  <c r="M35" i="4"/>
  <c r="C20" i="2" l="1"/>
  <c r="G8" i="2"/>
  <c r="F12" i="2"/>
  <c r="F15" i="2"/>
  <c r="F17" i="2" s="1"/>
  <c r="F18" i="2" s="1"/>
  <c r="F19" i="2" s="1"/>
  <c r="B7" i="4"/>
  <c r="B12" i="4" s="1"/>
  <c r="D12" i="2"/>
  <c r="D14" i="2"/>
  <c r="D15" i="2"/>
  <c r="Q18" i="3"/>
  <c r="B10" i="4" l="1"/>
  <c r="B11" i="4"/>
  <c r="B15" i="4"/>
  <c r="B20" i="4" s="1"/>
  <c r="C20" i="5"/>
  <c r="D16" i="5" s="1"/>
  <c r="B17" i="4"/>
  <c r="C7" i="4"/>
  <c r="F20" i="2"/>
  <c r="G12" i="2"/>
  <c r="G15" i="2"/>
  <c r="G17" i="2" s="1"/>
  <c r="G18" i="2" s="1"/>
  <c r="G19" i="2" s="1"/>
  <c r="D17" i="2"/>
  <c r="D18" i="2" s="1"/>
  <c r="P19" i="3"/>
  <c r="P20" i="3"/>
  <c r="P21" i="3"/>
  <c r="P18" i="3"/>
  <c r="C39" i="1"/>
  <c r="N38" i="1"/>
  <c r="J38" i="1"/>
  <c r="G38" i="1"/>
  <c r="N37" i="1"/>
  <c r="J37" i="1"/>
  <c r="G37" i="1"/>
  <c r="N36" i="1"/>
  <c r="J36" i="1"/>
  <c r="G36" i="1"/>
  <c r="N35" i="1"/>
  <c r="J35" i="1"/>
  <c r="G35" i="1"/>
  <c r="J34" i="1"/>
  <c r="Q34" i="1" s="1"/>
  <c r="G34" i="1"/>
  <c r="J33" i="1"/>
  <c r="Q33" i="1" s="1"/>
  <c r="G33" i="1"/>
  <c r="J32" i="1"/>
  <c r="Q32" i="1" s="1"/>
  <c r="G32" i="1"/>
  <c r="J31" i="1"/>
  <c r="Q31" i="1" s="1"/>
  <c r="G31" i="1"/>
  <c r="K10" i="3"/>
  <c r="L10" i="3" s="1"/>
  <c r="M10" i="3" s="1"/>
  <c r="N10" i="3" s="1"/>
  <c r="O10" i="3" s="1"/>
  <c r="P10" i="3" s="1"/>
  <c r="P11" i="3" s="1"/>
  <c r="J10" i="3"/>
  <c r="J11" i="3" s="1"/>
  <c r="I11" i="3"/>
  <c r="H11" i="3"/>
  <c r="G11" i="3"/>
  <c r="F11" i="3"/>
  <c r="E11" i="3"/>
  <c r="D11" i="3"/>
  <c r="C11" i="3"/>
  <c r="J5" i="3"/>
  <c r="K5" i="3"/>
  <c r="I5" i="3"/>
  <c r="H5" i="3"/>
  <c r="G5" i="3"/>
  <c r="F5" i="3"/>
  <c r="E5" i="3"/>
  <c r="D5" i="3"/>
  <c r="C5" i="3"/>
  <c r="O11" i="3" l="1"/>
  <c r="K11" i="3"/>
  <c r="C11" i="4"/>
  <c r="C12" i="4"/>
  <c r="B18" i="4"/>
  <c r="B19" i="4"/>
  <c r="B23" i="4"/>
  <c r="B28" i="4" s="1"/>
  <c r="C15" i="4"/>
  <c r="C8" i="4"/>
  <c r="D20" i="5"/>
  <c r="E16" i="5" s="1"/>
  <c r="G39" i="1"/>
  <c r="C17" i="4"/>
  <c r="D7" i="4"/>
  <c r="D12" i="4" s="1"/>
  <c r="G20" i="2"/>
  <c r="K33" i="1"/>
  <c r="N33" i="1" s="1"/>
  <c r="D19" i="2"/>
  <c r="D20" i="2"/>
  <c r="Q39" i="1"/>
  <c r="K32" i="1"/>
  <c r="N32" i="1" s="1"/>
  <c r="J39" i="1"/>
  <c r="K34" i="1"/>
  <c r="N11" i="3"/>
  <c r="M11" i="3"/>
  <c r="Q10" i="3"/>
  <c r="L11" i="3"/>
  <c r="M33" i="1" l="1"/>
  <c r="C19" i="4"/>
  <c r="C20" i="4"/>
  <c r="B26" i="4"/>
  <c r="B27" i="4"/>
  <c r="E20" i="5"/>
  <c r="F16" i="5" s="1"/>
  <c r="D11" i="4"/>
  <c r="C10" i="4"/>
  <c r="C16" i="4"/>
  <c r="D15" i="4"/>
  <c r="D20" i="4" s="1"/>
  <c r="M32" i="1"/>
  <c r="D17" i="4"/>
  <c r="E7" i="4"/>
  <c r="E12" i="4" s="1"/>
  <c r="D8" i="4"/>
  <c r="D10" i="4" s="1"/>
  <c r="M34" i="1"/>
  <c r="N34" i="1"/>
  <c r="R10" i="3"/>
  <c r="Q11" i="3"/>
  <c r="R11" i="3" l="1"/>
  <c r="D31" i="1"/>
  <c r="E15" i="4"/>
  <c r="E20" i="4" s="1"/>
  <c r="D19" i="4"/>
  <c r="F20" i="5"/>
  <c r="G16" i="5" s="1"/>
  <c r="E11" i="4"/>
  <c r="E17" i="4"/>
  <c r="F7" i="4"/>
  <c r="F12" i="4" s="1"/>
  <c r="E8" i="4"/>
  <c r="E10" i="4" s="1"/>
  <c r="P9" i="1"/>
  <c r="E14" i="2"/>
  <c r="E15" i="2"/>
  <c r="C24" i="2" s="1"/>
  <c r="E12" i="2"/>
  <c r="D39" i="1" l="1"/>
  <c r="C40" i="1" s="1"/>
  <c r="K31" i="1"/>
  <c r="G20" i="5"/>
  <c r="H16" i="5" s="1"/>
  <c r="F11" i="4"/>
  <c r="F15" i="4"/>
  <c r="F20" i="4" s="1"/>
  <c r="E19" i="4"/>
  <c r="F17" i="4"/>
  <c r="G7" i="4"/>
  <c r="G12" i="4" s="1"/>
  <c r="F8" i="4"/>
  <c r="F10" i="4" s="1"/>
  <c r="E17" i="2"/>
  <c r="R8" i="1"/>
  <c r="N24" i="1"/>
  <c r="J18" i="1"/>
  <c r="Q18" i="1" s="1"/>
  <c r="J19" i="1"/>
  <c r="K19" i="1" s="1"/>
  <c r="N19" i="1" s="1"/>
  <c r="J20" i="1"/>
  <c r="K20" i="1" s="1"/>
  <c r="M20" i="1" s="1"/>
  <c r="J21" i="1"/>
  <c r="J22" i="1"/>
  <c r="J23" i="1"/>
  <c r="J24" i="1"/>
  <c r="J17" i="1"/>
  <c r="K17" i="1" s="1"/>
  <c r="D25" i="1"/>
  <c r="C25" i="1"/>
  <c r="C26" i="1" s="1"/>
  <c r="G24" i="1"/>
  <c r="E31" i="2" s="1"/>
  <c r="G23" i="1"/>
  <c r="E30" i="2" s="1"/>
  <c r="G22" i="1"/>
  <c r="E29" i="2" s="1"/>
  <c r="G21" i="1"/>
  <c r="E28" i="2" s="1"/>
  <c r="G20" i="1"/>
  <c r="E27" i="2" s="1"/>
  <c r="G19" i="1"/>
  <c r="E26" i="2" s="1"/>
  <c r="G18" i="1"/>
  <c r="E25" i="2" s="1"/>
  <c r="G17" i="1"/>
  <c r="E24" i="2" s="1"/>
  <c r="I5" i="1"/>
  <c r="K5" i="1" s="1"/>
  <c r="I6" i="1"/>
  <c r="K6" i="1" s="1"/>
  <c r="I7" i="1"/>
  <c r="I8" i="1"/>
  <c r="I9" i="1"/>
  <c r="K9" i="1" s="1"/>
  <c r="I10" i="1"/>
  <c r="K10" i="1" s="1"/>
  <c r="I4" i="1"/>
  <c r="F11" i="1"/>
  <c r="G8" i="1" s="1"/>
  <c r="C11" i="1"/>
  <c r="D8" i="1" s="1"/>
  <c r="N31" i="1" l="1"/>
  <c r="N39" i="1" s="1"/>
  <c r="M31" i="1"/>
  <c r="K39" i="1"/>
  <c r="J40" i="1" s="1"/>
  <c r="I32" i="1"/>
  <c r="I36" i="1"/>
  <c r="I34" i="1"/>
  <c r="I33" i="1"/>
  <c r="I38" i="1"/>
  <c r="I37" i="1"/>
  <c r="I35" i="1"/>
  <c r="I31" i="1"/>
  <c r="F28" i="2"/>
  <c r="G28" i="2" s="1"/>
  <c r="I21" i="1"/>
  <c r="I17" i="1"/>
  <c r="I19" i="1"/>
  <c r="I20" i="1"/>
  <c r="I18" i="1"/>
  <c r="I22" i="1"/>
  <c r="I23" i="1"/>
  <c r="I24" i="1"/>
  <c r="F30" i="2"/>
  <c r="G30" i="2" s="1"/>
  <c r="E54" i="2"/>
  <c r="F25" i="2"/>
  <c r="G25" i="2" s="1"/>
  <c r="F26" i="2"/>
  <c r="G26" i="2" s="1"/>
  <c r="F27" i="2"/>
  <c r="G27" i="2" s="1"/>
  <c r="F31" i="2"/>
  <c r="G31" i="2" s="1"/>
  <c r="E55" i="2"/>
  <c r="E32" i="2"/>
  <c r="E52" i="2" s="1"/>
  <c r="F29" i="2"/>
  <c r="G29" i="2" s="1"/>
  <c r="E53" i="2"/>
  <c r="G15" i="4"/>
  <c r="G20" i="4" s="1"/>
  <c r="F19" i="4"/>
  <c r="H20" i="5"/>
  <c r="I16" i="5" s="1"/>
  <c r="G11" i="4"/>
  <c r="G17" i="4"/>
  <c r="G8" i="4"/>
  <c r="G10" i="4" s="1"/>
  <c r="H7" i="4"/>
  <c r="H12" i="4" s="1"/>
  <c r="E18" i="2"/>
  <c r="E20" i="2" s="1"/>
  <c r="E19" i="2"/>
  <c r="N17" i="1"/>
  <c r="Q20" i="1"/>
  <c r="N23" i="1"/>
  <c r="Q19" i="1"/>
  <c r="Q17" i="1"/>
  <c r="N20" i="1"/>
  <c r="M19" i="1"/>
  <c r="N22" i="1"/>
  <c r="K18" i="1"/>
  <c r="N18" i="1" s="1"/>
  <c r="G7" i="1"/>
  <c r="N21" i="1"/>
  <c r="M17" i="1"/>
  <c r="J25" i="1"/>
  <c r="G4" i="1"/>
  <c r="G25" i="1"/>
  <c r="H17" i="1" s="1"/>
  <c r="D4" i="1"/>
  <c r="D6" i="1"/>
  <c r="G10" i="1"/>
  <c r="G6" i="1"/>
  <c r="K8" i="1"/>
  <c r="D7" i="1"/>
  <c r="I11" i="1"/>
  <c r="J8" i="1" s="1"/>
  <c r="D9" i="1"/>
  <c r="D5" i="1"/>
  <c r="G9" i="1"/>
  <c r="G5" i="1"/>
  <c r="K4" i="1"/>
  <c r="K7" i="1"/>
  <c r="P32" i="1" l="1"/>
  <c r="P37" i="1"/>
  <c r="P34" i="1"/>
  <c r="P36" i="1"/>
  <c r="P38" i="1"/>
  <c r="P35" i="1"/>
  <c r="P31" i="1"/>
  <c r="P33" i="1"/>
  <c r="H21" i="1"/>
  <c r="J7" i="1"/>
  <c r="E50" i="2"/>
  <c r="H34" i="1"/>
  <c r="H37" i="1"/>
  <c r="H36" i="1"/>
  <c r="H33" i="1"/>
  <c r="H32" i="1"/>
  <c r="H35" i="1"/>
  <c r="H38" i="1"/>
  <c r="H31" i="1"/>
  <c r="E48" i="2"/>
  <c r="E51" i="2"/>
  <c r="E49" i="2"/>
  <c r="H18" i="1"/>
  <c r="E34" i="2"/>
  <c r="E35" i="2"/>
  <c r="F35" i="2" s="1"/>
  <c r="G35" i="2" s="1"/>
  <c r="E36" i="2"/>
  <c r="E33" i="2"/>
  <c r="F33" i="2" s="1"/>
  <c r="I20" i="5"/>
  <c r="J16" i="5" s="1"/>
  <c r="H11" i="4"/>
  <c r="H15" i="4"/>
  <c r="H20" i="4" s="1"/>
  <c r="G19" i="4"/>
  <c r="H17" i="4"/>
  <c r="I7" i="4"/>
  <c r="I12" i="4" s="1"/>
  <c r="H8" i="4"/>
  <c r="H10" i="4" s="1"/>
  <c r="K25" i="1"/>
  <c r="J26" i="1" s="1"/>
  <c r="Q9" i="1"/>
  <c r="Q25" i="1"/>
  <c r="H19" i="1"/>
  <c r="H23" i="1"/>
  <c r="H20" i="1"/>
  <c r="H24" i="1"/>
  <c r="M18" i="1"/>
  <c r="H22" i="1"/>
  <c r="N25" i="1"/>
  <c r="J9" i="1"/>
  <c r="J5" i="1"/>
  <c r="J6" i="1"/>
  <c r="J10" i="1"/>
  <c r="J4" i="1"/>
  <c r="H39" i="1" l="1"/>
  <c r="F36" i="2"/>
  <c r="G36" i="2" s="1"/>
  <c r="E37" i="2"/>
  <c r="C33" i="2"/>
  <c r="H25" i="1"/>
  <c r="E40" i="2"/>
  <c r="E41" i="2" s="1"/>
  <c r="F41" i="2" s="1"/>
  <c r="G41" i="2" s="1"/>
  <c r="E39" i="2"/>
  <c r="E42" i="2" s="1"/>
  <c r="C34" i="2"/>
  <c r="F34" i="2"/>
  <c r="G34" i="2" s="1"/>
  <c r="J20" i="5"/>
  <c r="K16" i="5" s="1"/>
  <c r="I11" i="4"/>
  <c r="I15" i="4"/>
  <c r="I20" i="4" s="1"/>
  <c r="H19" i="4"/>
  <c r="I17" i="4"/>
  <c r="J7" i="4"/>
  <c r="J12" i="4" s="1"/>
  <c r="I8" i="4"/>
  <c r="I10" i="4" s="1"/>
  <c r="F40" i="2"/>
  <c r="G33" i="2"/>
  <c r="P18" i="1"/>
  <c r="P21" i="1"/>
  <c r="P17" i="1"/>
  <c r="P22" i="1"/>
  <c r="P24" i="1"/>
  <c r="P23" i="1"/>
  <c r="P20" i="1"/>
  <c r="P19" i="1"/>
  <c r="O38" i="1"/>
  <c r="O37" i="1"/>
  <c r="O36" i="1"/>
  <c r="O35" i="1"/>
  <c r="O31" i="1"/>
  <c r="O33" i="1"/>
  <c r="O32" i="1"/>
  <c r="O34" i="1"/>
  <c r="T33" i="1"/>
  <c r="T31" i="1"/>
  <c r="T32" i="1"/>
  <c r="T34" i="1"/>
  <c r="R19" i="1"/>
  <c r="R20" i="1"/>
  <c r="R18" i="1"/>
  <c r="R17" i="1"/>
  <c r="O23" i="1"/>
  <c r="O17" i="1"/>
  <c r="O24" i="1"/>
  <c r="O19" i="1"/>
  <c r="O20" i="1"/>
  <c r="O22" i="1"/>
  <c r="O18" i="1"/>
  <c r="O21" i="1"/>
  <c r="C36" i="2" l="1"/>
  <c r="J15" i="4"/>
  <c r="J20" i="4" s="1"/>
  <c r="I19" i="4"/>
  <c r="K20" i="5"/>
  <c r="L16" i="5" s="1"/>
  <c r="J11" i="4"/>
  <c r="J17" i="4"/>
  <c r="K7" i="4"/>
  <c r="K12" i="4" s="1"/>
  <c r="J8" i="4"/>
  <c r="J10" i="4" s="1"/>
  <c r="E43" i="2"/>
  <c r="G40" i="2"/>
  <c r="L20" i="5" l="1"/>
  <c r="M16" i="5" s="1"/>
  <c r="K11" i="4"/>
  <c r="K15" i="4"/>
  <c r="K20" i="4" s="1"/>
  <c r="J19" i="4"/>
  <c r="K17" i="4"/>
  <c r="K8" i="4"/>
  <c r="K10" i="4" s="1"/>
  <c r="L7" i="4"/>
  <c r="L12" i="4" s="1"/>
  <c r="E45" i="2"/>
  <c r="E44" i="2"/>
  <c r="L15" i="4" l="1"/>
  <c r="L20" i="4" s="1"/>
  <c r="K19" i="4"/>
  <c r="M20" i="5"/>
  <c r="N16" i="5" s="1"/>
  <c r="L11" i="4"/>
  <c r="L17" i="4"/>
  <c r="M7" i="4"/>
  <c r="L8" i="4"/>
  <c r="L10" i="4" s="1"/>
  <c r="M11" i="4" l="1"/>
  <c r="M12" i="4"/>
  <c r="N12" i="4" s="1"/>
  <c r="C52" i="4" s="1"/>
  <c r="C59" i="4" s="1"/>
  <c r="N11" i="4"/>
  <c r="C49" i="4" s="1"/>
  <c r="M15" i="4"/>
  <c r="L19" i="4"/>
  <c r="E42" i="4"/>
  <c r="N20" i="5"/>
  <c r="M17" i="4"/>
  <c r="B25" i="4"/>
  <c r="M8" i="4"/>
  <c r="M19" i="4" l="1"/>
  <c r="M20" i="4"/>
  <c r="N20" i="4" s="1"/>
  <c r="D52" i="4" s="1"/>
  <c r="N19" i="4"/>
  <c r="D49" i="4" s="1"/>
  <c r="F42" i="4"/>
  <c r="P20" i="5"/>
  <c r="O16" i="5"/>
  <c r="P16" i="5" s="1"/>
  <c r="M10" i="4"/>
  <c r="N10" i="4" s="1"/>
  <c r="C48" i="4" s="1"/>
  <c r="C57" i="4" s="1"/>
  <c r="N8" i="4"/>
  <c r="C25" i="4"/>
  <c r="H51" i="4" l="1"/>
  <c r="D59" i="4"/>
  <c r="C50" i="4"/>
  <c r="C51" i="4"/>
  <c r="C18" i="4"/>
  <c r="D25" i="4"/>
  <c r="C58" i="4" l="1"/>
  <c r="C60" i="4" s="1"/>
  <c r="C53" i="4"/>
  <c r="C54" i="4" s="1"/>
  <c r="E25" i="4"/>
  <c r="D16" i="4"/>
  <c r="H60" i="4" l="1"/>
  <c r="D18" i="4"/>
  <c r="C61" i="4"/>
  <c r="C63" i="4" s="1"/>
  <c r="C55" i="4"/>
  <c r="E16" i="4"/>
  <c r="E18" i="4" s="1"/>
  <c r="F25" i="4"/>
  <c r="C62" i="4" l="1"/>
  <c r="F16" i="4"/>
  <c r="G25" i="4"/>
  <c r="F18" i="4" l="1"/>
  <c r="G16" i="4"/>
  <c r="G18" i="4" s="1"/>
  <c r="H25" i="4"/>
  <c r="I25" i="4" l="1"/>
  <c r="H16" i="4"/>
  <c r="H18" i="4" s="1"/>
  <c r="I16" i="4" l="1"/>
  <c r="I18" i="4" s="1"/>
  <c r="J25" i="4"/>
  <c r="J16" i="4" l="1"/>
  <c r="J18" i="4" s="1"/>
  <c r="K25" i="4"/>
  <c r="K16" i="4" l="1"/>
  <c r="K18" i="4" s="1"/>
  <c r="L25" i="4"/>
  <c r="L16" i="4" l="1"/>
  <c r="L18" i="4" s="1"/>
  <c r="M25" i="4" l="1"/>
  <c r="M16" i="4"/>
  <c r="N16" i="4" s="1"/>
  <c r="M18" i="4" l="1"/>
  <c r="E43" i="4"/>
  <c r="H52" i="4" s="1"/>
  <c r="H54" i="4" s="1"/>
  <c r="H57" i="4" s="1"/>
  <c r="C23" i="4"/>
  <c r="C28" i="4" s="1"/>
  <c r="H59" i="4" l="1"/>
  <c r="H58" i="4"/>
  <c r="D23" i="4"/>
  <c r="D28" i="4" s="1"/>
  <c r="C27" i="4"/>
  <c r="F43" i="4"/>
  <c r="D43" i="4"/>
  <c r="F24" i="2" s="1"/>
  <c r="F32" i="2" s="1"/>
  <c r="F39" i="2" s="1"/>
  <c r="F42" i="2" s="1"/>
  <c r="F43" i="2" s="1"/>
  <c r="N18" i="4"/>
  <c r="D48" i="4" s="1"/>
  <c r="D57" i="4" s="1"/>
  <c r="D51" i="4" s="1"/>
  <c r="C24" i="4"/>
  <c r="E23" i="4" l="1"/>
  <c r="E28" i="4" s="1"/>
  <c r="D27" i="4"/>
  <c r="D50" i="4"/>
  <c r="F49" i="2"/>
  <c r="F53" i="2"/>
  <c r="F51" i="2"/>
  <c r="F55" i="2"/>
  <c r="F54" i="2"/>
  <c r="F50" i="2"/>
  <c r="F37" i="2"/>
  <c r="F48" i="2"/>
  <c r="F52" i="2"/>
  <c r="C26" i="4"/>
  <c r="F44" i="2"/>
  <c r="F45" i="2"/>
  <c r="D24" i="4"/>
  <c r="D26" i="4" s="1"/>
  <c r="F23" i="4" l="1"/>
  <c r="F28" i="4" s="1"/>
  <c r="E27" i="4"/>
  <c r="D58" i="4"/>
  <c r="D53" i="4"/>
  <c r="D54" i="4" s="1"/>
  <c r="D55" i="4" s="1"/>
  <c r="E24" i="4"/>
  <c r="E26" i="4" s="1"/>
  <c r="D60" i="4" l="1"/>
  <c r="D61" i="4" s="1"/>
  <c r="D63" i="4" s="1"/>
  <c r="C39" i="4"/>
  <c r="G23" i="4"/>
  <c r="G28" i="4" s="1"/>
  <c r="F27" i="4"/>
  <c r="D39" i="4"/>
  <c r="D56" i="4"/>
  <c r="F24" i="4"/>
  <c r="D62" i="4" l="1"/>
  <c r="H23" i="4"/>
  <c r="H28" i="4" s="1"/>
  <c r="G27" i="4"/>
  <c r="F26" i="4"/>
  <c r="G24" i="4"/>
  <c r="I23" i="4" l="1"/>
  <c r="I28" i="4" s="1"/>
  <c r="H27" i="4"/>
  <c r="G26" i="4"/>
  <c r="H24" i="4"/>
  <c r="H26" i="4" s="1"/>
  <c r="J23" i="4" l="1"/>
  <c r="J28" i="4" s="1"/>
  <c r="I27" i="4"/>
  <c r="I24" i="4"/>
  <c r="I26" i="4" s="1"/>
  <c r="K23" i="4" l="1"/>
  <c r="K28" i="4" s="1"/>
  <c r="J27" i="4"/>
  <c r="J24" i="4"/>
  <c r="J26" i="4" s="1"/>
  <c r="L23" i="4" l="1"/>
  <c r="L28" i="4" s="1"/>
  <c r="K27" i="4"/>
  <c r="K24" i="4"/>
  <c r="K26" i="4" s="1"/>
  <c r="M23" i="4" l="1"/>
  <c r="L27" i="4"/>
  <c r="L24" i="4"/>
  <c r="L26" i="4" s="1"/>
  <c r="M27" i="4" l="1"/>
  <c r="M28" i="4"/>
  <c r="N28" i="4" s="1"/>
  <c r="E52" i="4" s="1"/>
  <c r="E59" i="4" s="1"/>
  <c r="N27" i="4"/>
  <c r="E49" i="4" s="1"/>
  <c r="M24" i="4"/>
  <c r="N24" i="4" s="1"/>
  <c r="M26" i="4" l="1"/>
  <c r="N26" i="4" s="1"/>
  <c r="E48" i="4" s="1"/>
  <c r="E57" i="4" s="1"/>
  <c r="E51" i="4" s="1"/>
  <c r="E44" i="4"/>
  <c r="F44" i="4" s="1"/>
  <c r="E50" i="4" l="1"/>
  <c r="E45" i="4"/>
  <c r="D44" i="4"/>
  <c r="G24" i="2" s="1"/>
  <c r="G32" i="2" s="1"/>
  <c r="G48" i="2" s="1"/>
  <c r="E58" i="4" l="1"/>
  <c r="E60" i="4" s="1"/>
  <c r="E61" i="4" s="1"/>
  <c r="E53" i="4"/>
  <c r="E54" i="4" s="1"/>
  <c r="E55" i="4" s="1"/>
  <c r="G49" i="2"/>
  <c r="G51" i="2"/>
  <c r="G39" i="2"/>
  <c r="G42" i="2" s="1"/>
  <c r="G43" i="2" s="1"/>
  <c r="G50" i="2"/>
  <c r="G55" i="2"/>
  <c r="G54" i="2"/>
  <c r="G52" i="2"/>
  <c r="G53" i="2"/>
  <c r="G37" i="2"/>
  <c r="E39" i="4" l="1"/>
  <c r="E56" i="4"/>
  <c r="E62" i="4"/>
  <c r="E63" i="4"/>
  <c r="G45" i="2"/>
  <c r="G44" i="2"/>
  <c r="B35" i="4" l="1"/>
  <c r="B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Mariano Agustin Juiz</author>
  </authors>
  <commentList>
    <comment ref="B9" authorId="0" shapeId="0" xr:uid="{00000000-0006-0000-0000-000001000000}">
      <text>
        <r>
          <rPr>
            <b/>
            <sz val="9"/>
            <color indexed="81"/>
            <rFont val="Tahoma"/>
            <family val="2"/>
          </rPr>
          <t>Bonificados</t>
        </r>
      </text>
    </comment>
    <comment ref="B15" authorId="0" shapeId="0" xr:uid="{00000000-0006-0000-0000-000002000000}">
      <text>
        <r>
          <rPr>
            <b/>
            <sz val="9"/>
            <color indexed="81"/>
            <rFont val="Tahoma"/>
            <family val="2"/>
          </rPr>
          <t>Arranco de cero</t>
        </r>
      </text>
    </comment>
    <comment ref="A17" authorId="0" shapeId="0" xr:uid="{00000000-0006-0000-0000-000003000000}">
      <text>
        <r>
          <rPr>
            <sz val="9"/>
            <color indexed="81"/>
            <rFont val="Tahoma"/>
            <family val="2"/>
          </rPr>
          <t>Empiezan a pagar los bonificados primer año</t>
        </r>
      </text>
    </comment>
    <comment ref="A25" authorId="0" shapeId="0" xr:uid="{00000000-0006-0000-0000-000004000000}">
      <text>
        <r>
          <rPr>
            <b/>
            <sz val="9"/>
            <color indexed="81"/>
            <rFont val="Tahoma"/>
            <family val="2"/>
          </rPr>
          <t>Comienzan a pagar bonificados año anterior</t>
        </r>
      </text>
    </comment>
    <comment ref="F39" authorId="0" shapeId="0" xr:uid="{00000000-0006-0000-0000-000005000000}">
      <text>
        <r>
          <rPr>
            <b/>
            <sz val="9"/>
            <color indexed="81"/>
            <rFont val="Tahoma"/>
            <charset val="1"/>
          </rPr>
          <t>Tasa de Transferencia</t>
        </r>
      </text>
    </comment>
    <comment ref="B43" authorId="0" shapeId="0" xr:uid="{00000000-0006-0000-0000-000006000000}">
      <text>
        <r>
          <rPr>
            <b/>
            <sz val="9"/>
            <color indexed="81"/>
            <rFont val="Tahoma"/>
            <family val="2"/>
          </rPr>
          <t>Con modificaciones en marketing Mix</t>
        </r>
      </text>
    </comment>
    <comment ref="E43" authorId="0" shapeId="0" xr:uid="{00000000-0006-0000-0000-000007000000}">
      <text>
        <r>
          <rPr>
            <b/>
            <sz val="9"/>
            <color indexed="81"/>
            <rFont val="Tahoma"/>
            <family val="2"/>
          </rPr>
          <t xml:space="preserve">Lo del año anterior y un 50% más
</t>
        </r>
      </text>
    </comment>
    <comment ref="D47" authorId="0" shapeId="0" xr:uid="{00000000-0006-0000-0000-000008000000}">
      <text>
        <r>
          <rPr>
            <b/>
            <sz val="9"/>
            <color indexed="81"/>
            <rFont val="Tahoma"/>
            <family val="2"/>
          </rPr>
          <t>Con modificaciones en marketing Mix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Mariano Agustin Juiz</author>
  </authors>
  <commentList>
    <comment ref="E3" authorId="0" shapeId="0" xr:uid="{00000000-0006-0000-0100-000001000000}">
      <text>
        <r>
          <rPr>
            <b/>
            <sz val="9"/>
            <color indexed="81"/>
            <rFont val="Tahoma"/>
            <family val="2"/>
          </rPr>
          <t>Considerar Costo transaccional</t>
        </r>
      </text>
    </comment>
    <comment ref="H3" authorId="0" shapeId="0" xr:uid="{00000000-0006-0000-0100-000002000000}">
      <text>
        <r>
          <rPr>
            <b/>
            <sz val="9"/>
            <color indexed="81"/>
            <rFont val="Tahoma"/>
            <family val="2"/>
          </rPr>
          <t>Considerar Costo transaccional</t>
        </r>
      </text>
    </comment>
    <comment ref="I17" authorId="0" shapeId="0" xr:uid="{00000000-0006-0000-0100-000003000000}">
      <text>
        <r>
          <rPr>
            <sz val="9"/>
            <color indexed="81"/>
            <rFont val="Tahoma"/>
            <family val="2"/>
          </rPr>
          <t>Es el porcentaje de clientes que genera el 20% de la facturación de individuos.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Mariano Agustin Juiz</author>
  </authors>
  <commentList>
    <comment ref="I9" authorId="0" shapeId="0" xr:uid="{00000000-0006-0000-0300-000001000000}">
      <text>
        <r>
          <rPr>
            <sz val="9"/>
            <color indexed="81"/>
            <rFont val="Tahoma"/>
            <family val="2"/>
          </rPr>
          <t>Agosto fue el mes de 2019 de mayor rentabilidad. A partir de septiembre, el segmento se incremento en cantidad de potenciales y disminuyó su rentabilidad. Esto quiere decir que hubo una migración hacia los segmentos más altos.
Para este analisis tomaremos los siguientes supuestos</t>
        </r>
        <r>
          <rPr>
            <b/>
            <sz val="9"/>
            <color indexed="81"/>
            <rFont val="Tahoma"/>
            <family val="2"/>
          </rPr>
          <t xml:space="preserve">:
</t>
        </r>
        <r>
          <rPr>
            <sz val="9"/>
            <color indexed="81"/>
            <rFont val="Tahoma"/>
            <family val="2"/>
          </rPr>
          <t>1) Se elevan los requisitos para obtener Logros para reducir la perdida de calidad del segmento. Adicionalmente se tiene en cuenta un freno de la actividad económica.
2) La cantidad de potenciales que generan una mayor rentabilidad es menor.
3) Se ajusta la tasa de crecimiento de potenciales del segmento a un promedio de la tasa de crecimiento entre enero y agosto 2019 suprimiendo los valores más altos. La tasa de crecimiento utilizada es 5,20%, planteando una reducción a partir de Marzo 2020, del 5,20% al 1%.</t>
        </r>
      </text>
    </comment>
    <comment ref="R10" authorId="0" shapeId="0" xr:uid="{00000000-0006-0000-0300-000002000000}">
      <text>
        <r>
          <rPr>
            <sz val="9"/>
            <color indexed="81"/>
            <rFont val="Tahoma"/>
            <family val="2"/>
          </rPr>
          <t>A esto debe restarse 18.770 para tener los potenciales netos del segmento.</t>
        </r>
      </text>
    </comment>
  </commentList>
</comments>
</file>

<file path=xl/sharedStrings.xml><?xml version="1.0" encoding="utf-8"?>
<sst xmlns="http://schemas.openxmlformats.org/spreadsheetml/2006/main" count="279" uniqueCount="130">
  <si>
    <t>Logros</t>
  </si>
  <si>
    <t>Segmento</t>
  </si>
  <si>
    <t>Cantidad de clientes</t>
  </si>
  <si>
    <t>%</t>
  </si>
  <si>
    <t>Facturación</t>
  </si>
  <si>
    <t>Evolución</t>
  </si>
  <si>
    <t>Crecimiento</t>
  </si>
  <si>
    <t>Impulso</t>
  </si>
  <si>
    <t>No Paquetizable</t>
  </si>
  <si>
    <t>Transaccional</t>
  </si>
  <si>
    <t>Beneficio Social</t>
  </si>
  <si>
    <t>Haberes</t>
  </si>
  <si>
    <t>No Haberes</t>
  </si>
  <si>
    <t>Actual</t>
  </si>
  <si>
    <t>Potencial</t>
  </si>
  <si>
    <t>Clientes</t>
  </si>
  <si>
    <t>Facturación/rentabilidad</t>
  </si>
  <si>
    <t>Beneficio Social Vigente</t>
  </si>
  <si>
    <t>beneficio Social No Vigente</t>
  </si>
  <si>
    <t>Facturación Actual</t>
  </si>
  <si>
    <t>Monto $</t>
  </si>
  <si>
    <t>Ponderación</t>
  </si>
  <si>
    <t>% Cant. Clientes Actual</t>
  </si>
  <si>
    <t>S I M U L A C I Ó N</t>
  </si>
  <si>
    <t>Var %</t>
  </si>
  <si>
    <t>Control</t>
  </si>
  <si>
    <t>Cant paquetes nuevos</t>
  </si>
  <si>
    <t>Objetivo Pre- Cuarentena</t>
  </si>
  <si>
    <t>Escenario Actual Estático</t>
  </si>
  <si>
    <t>Costo</t>
  </si>
  <si>
    <t>Rentabilidad</t>
  </si>
  <si>
    <t>Marketing Directo</t>
  </si>
  <si>
    <t>Ingresos Financieros Netos</t>
  </si>
  <si>
    <t>Individuos</t>
  </si>
  <si>
    <t>Costo/Valor de fondos</t>
  </si>
  <si>
    <t>Margen</t>
  </si>
  <si>
    <t>Rentabilidad de marketing</t>
  </si>
  <si>
    <t>Cargo por Previsión</t>
  </si>
  <si>
    <t>Ingresos netos por servicios</t>
  </si>
  <si>
    <t>Gastos de administración</t>
  </si>
  <si>
    <t>EBIT</t>
  </si>
  <si>
    <t>Total ingresos</t>
  </si>
  <si>
    <t>Total egresos</t>
  </si>
  <si>
    <t>Segmento individuos</t>
  </si>
  <si>
    <t>Marketing ROS</t>
  </si>
  <si>
    <t>Marketing ROI</t>
  </si>
  <si>
    <t>Totales</t>
  </si>
  <si>
    <t>Total Individuos</t>
  </si>
  <si>
    <t>Ponderación Logros/Objetivo</t>
  </si>
  <si>
    <t>Objetivo Anual</t>
  </si>
  <si>
    <t>Individuos Logros+ Potenciales</t>
  </si>
  <si>
    <t>Enero</t>
  </si>
  <si>
    <t>Febrero</t>
  </si>
  <si>
    <t>Marzo</t>
  </si>
  <si>
    <t>Abril</t>
  </si>
  <si>
    <t>Mayo</t>
  </si>
  <si>
    <t>Junio</t>
  </si>
  <si>
    <t>Julio</t>
  </si>
  <si>
    <t>Agosto</t>
  </si>
  <si>
    <t>Septiembre</t>
  </si>
  <si>
    <t>Octubre</t>
  </si>
  <si>
    <t>Noviembre</t>
  </si>
  <si>
    <t>Diciembre</t>
  </si>
  <si>
    <t>Evolución Segmento Logros</t>
  </si>
  <si>
    <t>Evolución Segmento Logros con Ajuste</t>
  </si>
  <si>
    <t>Evolución Segmento Logros proyectado</t>
  </si>
  <si>
    <t>Escenario Ajustado</t>
  </si>
  <si>
    <t>Migración</t>
  </si>
  <si>
    <t>Proy. 2020</t>
  </si>
  <si>
    <t>Proy. 2021</t>
  </si>
  <si>
    <t>TEM</t>
  </si>
  <si>
    <t>Acum</t>
  </si>
  <si>
    <t>Var Mensual</t>
  </si>
  <si>
    <t>Var % Venta Logros</t>
  </si>
  <si>
    <t>Tasa de crecimiento</t>
  </si>
  <si>
    <t>Año</t>
  </si>
  <si>
    <t>Acumulado Logros</t>
  </si>
  <si>
    <t>Notas:</t>
  </si>
  <si>
    <t>No es posible saber el ingreso proyectado exacto, dado que la rentabilidad no viene solo por la venta del producto en si, sino por el comportamiento financiero posterior del cliente.</t>
  </si>
  <si>
    <t>El alcance del esquema,se limita solo a una proyección en función de la rentabilidad actual promedio del paquete Logros.</t>
  </si>
  <si>
    <t>TIR:</t>
  </si>
  <si>
    <t>VAN</t>
  </si>
  <si>
    <t>Proyección de venta objetivo del paquete Logros</t>
  </si>
  <si>
    <t>Precio mensual</t>
  </si>
  <si>
    <t>Al año</t>
  </si>
  <si>
    <t>Resultado Neto</t>
  </si>
  <si>
    <t>Impuesto a las ganancias</t>
  </si>
  <si>
    <t>Ventas x Precio unitario</t>
  </si>
  <si>
    <t>TIPO DE PAQUETE</t>
  </si>
  <si>
    <t>ENERO</t>
  </si>
  <si>
    <t>FEBRERO</t>
  </si>
  <si>
    <t>MARZO</t>
  </si>
  <si>
    <t>ABRIL</t>
  </si>
  <si>
    <t>MAYO</t>
  </si>
  <si>
    <t>JUNIO</t>
  </si>
  <si>
    <t>JULIO</t>
  </si>
  <si>
    <t>AGOSTO</t>
  </si>
  <si>
    <t>SEPTIEMBRE</t>
  </si>
  <si>
    <t>OCTUBRE</t>
  </si>
  <si>
    <t>NOVIEMBRE</t>
  </si>
  <si>
    <t>DICIEMBRE</t>
  </si>
  <si>
    <t>TOTAL</t>
  </si>
  <si>
    <t>CRECIMIENTO</t>
  </si>
  <si>
    <t>EVOLUCION</t>
  </si>
  <si>
    <t>IMPULSO</t>
  </si>
  <si>
    <t xml:space="preserve">LOGROS         </t>
  </si>
  <si>
    <t>Tasa de Crecimiento</t>
  </si>
  <si>
    <t>Var % Anual</t>
  </si>
  <si>
    <t>Costos: estan representados por las ponderaciones extraidas de las notas a los estados de resultados 2019 presentados por el Banco de La Provincia De Buenos Aires y la plataforma interna DataWareHouse del Banco De La Provincia De Buenos Aires</t>
  </si>
  <si>
    <t>Empleados</t>
  </si>
  <si>
    <t>por ejecutivo</t>
  </si>
  <si>
    <t>Ejecutivos asignados</t>
  </si>
  <si>
    <t>Cuentas Logros 2020</t>
  </si>
  <si>
    <t>Salario + Cargas sociales</t>
  </si>
  <si>
    <t>Salario</t>
  </si>
  <si>
    <t>Gasto en remuneraciones al personal</t>
  </si>
  <si>
    <t>Gastos de marketing</t>
  </si>
  <si>
    <t>Tasa de descuento</t>
  </si>
  <si>
    <t>Contribución Bruta</t>
  </si>
  <si>
    <t>Interm. Financiera</t>
  </si>
  <si>
    <t>Gs. Adm</t>
  </si>
  <si>
    <t>Resultado x servicios</t>
  </si>
  <si>
    <t>Rentabilidad acumulada</t>
  </si>
  <si>
    <t>Rentabilidad promedio mensual</t>
  </si>
  <si>
    <t>Margen Bruto</t>
  </si>
  <si>
    <t>Ingresos Financieros</t>
  </si>
  <si>
    <t>Gs Administración</t>
  </si>
  <si>
    <t>Rentabilidad Logros</t>
  </si>
  <si>
    <t>Var % Logros / Vta. Objetivo</t>
  </si>
  <si>
    <t>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</si>
</sst>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00;[Red]\-&quot;$&quot;#,##0.00"/>
    <numFmt numFmtId="165" formatCode="_-&quot;$&quot;* #,##0.00_-;\-&quot;$&quot;* #,##0.00_-;_-&quot;$&quot;* &quot;-&quot;??_-;_-@_-"/>
    <numFmt numFmtId="166" formatCode="_-* #,##0_-;\-* #,##0_-;_-* &quot;-&quot;??_-;_-@_-"/>
    <numFmt numFmtId="167" formatCode="_-&quot;$&quot;* #,##0_-;\-&quot;$&quot;* #,##0_-;_-&quot;$&quot;* &quot;-&quot;??_-;_-@_-"/>
    <numFmt numFmtId="168" formatCode="0.0000%"/>
    <numFmt numFmtId="169" formatCode="_-* #,##0.0000_-;\-* #,##0.0000_-;_-* &quot;-&quot;??_-;_-@_-"/>
    <numFmt numFmtId="170" formatCode="&quot;$&quot;#,##0.00"/>
    <numFmt numFmtId="171" formatCode="0.0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9"/>
      <color indexed="81"/>
      <name val="Tahoma"/>
      <family val="2"/>
    </font>
    <font>
      <b/>
      <sz val="10"/>
      <color theme="1"/>
      <name val="Calibri"/>
      <family val="2"/>
      <scheme val="minor"/>
    </font>
    <font>
      <sz val="10"/>
      <color theme="1"/>
      <name val="Calibri"/>
      <family val="2"/>
      <scheme val="minor"/>
    </font>
    <font>
      <b/>
      <sz val="10"/>
      <color theme="0"/>
      <name val="Calibri"/>
      <family val="2"/>
      <scheme val="minor"/>
    </font>
    <font>
      <b/>
      <sz val="10"/>
      <color rgb="FFFFFF00"/>
      <name val="Calibri"/>
      <family val="2"/>
      <scheme val="minor"/>
    </font>
    <font>
      <sz val="10"/>
      <color rgb="FFFFFF00"/>
      <name val="Calibri"/>
      <family val="2"/>
      <scheme val="minor"/>
    </font>
    <font>
      <sz val="11"/>
      <color theme="0"/>
      <name val="Calibri"/>
      <family val="2"/>
      <scheme val="minor"/>
    </font>
    <font>
      <b/>
      <sz val="10"/>
      <name val="Calibri"/>
      <family val="2"/>
      <scheme val="minor"/>
    </font>
    <font>
      <sz val="10"/>
      <color rgb="FFFF0000"/>
      <name val="Calibri"/>
      <family val="2"/>
      <scheme val="minor"/>
    </font>
    <font>
      <sz val="10"/>
      <color rgb="FF0070C0"/>
      <name val="Calibri"/>
      <family val="2"/>
      <scheme val="minor"/>
    </font>
    <font>
      <sz val="9"/>
      <color indexed="81"/>
      <name val="Tahoma"/>
      <family val="2"/>
    </font>
    <font>
      <sz val="10"/>
      <name val="Calibri"/>
      <family val="2"/>
      <scheme val="minor"/>
    </font>
    <font>
      <b/>
      <sz val="10"/>
      <color rgb="FF0070C0"/>
      <name val="Calibri"/>
      <family val="2"/>
      <scheme val="minor"/>
    </font>
    <font>
      <b/>
      <sz val="12"/>
      <color theme="1"/>
      <name val="Calibri"/>
      <family val="2"/>
      <scheme val="minor"/>
    </font>
    <font>
      <b/>
      <sz val="10"/>
      <color rgb="FFFF0000"/>
      <name val="Calibri"/>
      <family val="2"/>
      <scheme val="minor"/>
    </font>
    <font>
      <sz val="10"/>
      <color theme="0"/>
      <name val="Calibri"/>
      <family val="2"/>
      <scheme val="minor"/>
    </font>
    <font>
      <b/>
      <sz val="9"/>
      <color indexed="81"/>
      <name val="Tahoma"/>
      <charset val="1"/>
    </font>
    <font>
      <sz val="12"/>
      <color theme="1"/>
      <name val="Calibri"/>
      <family val="2"/>
      <scheme val="minor"/>
    </font>
    <font>
      <sz val="12"/>
      <color rgb="FFFF0000"/>
      <name val="Calibri"/>
      <family val="2"/>
      <scheme val="minor"/>
    </font>
    <font>
      <b/>
      <sz val="12"/>
      <color theme="0"/>
      <name val="Calibri"/>
      <family val="2"/>
      <scheme val="minor"/>
    </font>
    <font>
      <sz val="14"/>
      <color theme="1"/>
      <name val="Calibri"/>
      <family val="2"/>
      <scheme val="minor"/>
    </font>
    <font>
      <sz val="12"/>
      <color theme="0"/>
      <name val="Calibri"/>
      <family val="2"/>
      <scheme val="minor"/>
    </font>
    <font>
      <sz val="12"/>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4" fillId="0" borderId="1" xfId="0" applyFont="1" applyBorder="1" applyAlignment="1">
      <alignment horizontal="center"/>
    </xf>
    <xf numFmtId="0" fontId="5" fillId="0" borderId="0" xfId="0" applyFont="1"/>
    <xf numFmtId="0" fontId="4" fillId="0" borderId="2" xfId="0" applyFont="1" applyBorder="1" applyAlignment="1">
      <alignment horizontal="center"/>
    </xf>
    <xf numFmtId="10" fontId="0" fillId="0" borderId="0" xfId="3" applyNumberFormat="1" applyFont="1"/>
    <xf numFmtId="0" fontId="0" fillId="0" borderId="1" xfId="0" applyBorder="1"/>
    <xf numFmtId="10" fontId="0" fillId="0" borderId="1" xfId="3" applyNumberFormat="1" applyFont="1" applyBorder="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5" fillId="0" borderId="13" xfId="0" applyFont="1" applyBorder="1" applyAlignment="1">
      <alignment horizontal="center"/>
    </xf>
    <xf numFmtId="166" fontId="5" fillId="0" borderId="0" xfId="1" applyNumberFormat="1" applyFont="1"/>
    <xf numFmtId="166" fontId="5" fillId="0" borderId="14" xfId="1" applyNumberFormat="1" applyFont="1" applyBorder="1"/>
    <xf numFmtId="166" fontId="5" fillId="0" borderId="0" xfId="1" applyNumberFormat="1" applyFont="1" applyBorder="1"/>
    <xf numFmtId="166" fontId="5" fillId="0" borderId="1" xfId="1" applyNumberFormat="1" applyFont="1" applyBorder="1"/>
    <xf numFmtId="167" fontId="5" fillId="0" borderId="0" xfId="2" applyNumberFormat="1" applyFont="1"/>
    <xf numFmtId="10" fontId="5" fillId="0" borderId="0" xfId="3" applyNumberFormat="1" applyFont="1"/>
    <xf numFmtId="167" fontId="5" fillId="0" borderId="1" xfId="2" applyNumberFormat="1" applyFont="1" applyBorder="1"/>
    <xf numFmtId="10" fontId="5" fillId="0" borderId="1" xfId="3" applyNumberFormat="1" applyFont="1" applyBorder="1"/>
    <xf numFmtId="166" fontId="5" fillId="0" borderId="0" xfId="0" applyNumberFormat="1" applyFont="1"/>
    <xf numFmtId="0" fontId="5" fillId="0" borderId="13" xfId="0" applyFont="1" applyFill="1" applyBorder="1" applyAlignment="1">
      <alignment horizontal="center"/>
    </xf>
    <xf numFmtId="0" fontId="5" fillId="0" borderId="1" xfId="0" applyFont="1" applyBorder="1"/>
    <xf numFmtId="0" fontId="5" fillId="4" borderId="13" xfId="0" applyFont="1" applyFill="1" applyBorder="1" applyAlignment="1">
      <alignment horizontal="center"/>
    </xf>
    <xf numFmtId="165" fontId="5" fillId="0" borderId="0" xfId="0" applyNumberFormat="1" applyFont="1"/>
    <xf numFmtId="165" fontId="5" fillId="0" borderId="1" xfId="0" applyNumberFormat="1" applyFont="1" applyBorder="1"/>
    <xf numFmtId="166" fontId="8" fillId="2" borderId="0" xfId="0" applyNumberFormat="1" applyFont="1" applyFill="1"/>
    <xf numFmtId="0" fontId="6" fillId="5" borderId="13" xfId="0" applyFont="1" applyFill="1" applyBorder="1" applyAlignment="1">
      <alignment horizontal="center"/>
    </xf>
    <xf numFmtId="9" fontId="6" fillId="5" borderId="0" xfId="0" applyNumberFormat="1" applyFont="1" applyFill="1" applyAlignment="1">
      <alignment horizontal="center"/>
    </xf>
    <xf numFmtId="9" fontId="6" fillId="5" borderId="0" xfId="3" applyFont="1" applyFill="1" applyAlignment="1">
      <alignment horizontal="center"/>
    </xf>
    <xf numFmtId="0" fontId="5" fillId="0" borderId="15" xfId="0" applyFont="1" applyBorder="1" applyAlignment="1">
      <alignment horizontal="center"/>
    </xf>
    <xf numFmtId="165" fontId="5" fillId="0" borderId="4" xfId="2" applyFont="1" applyBorder="1"/>
    <xf numFmtId="165" fontId="5" fillId="0" borderId="0" xfId="2" applyFont="1" applyBorder="1"/>
    <xf numFmtId="167" fontId="5" fillId="0" borderId="3" xfId="2" applyNumberFormat="1" applyFont="1" applyBorder="1"/>
    <xf numFmtId="167" fontId="5" fillId="0" borderId="4" xfId="2" applyNumberFormat="1" applyFont="1" applyBorder="1"/>
    <xf numFmtId="167" fontId="5" fillId="0" borderId="2" xfId="2" applyNumberFormat="1" applyFont="1" applyBorder="1"/>
    <xf numFmtId="0" fontId="4" fillId="0" borderId="0" xfId="0" applyFont="1"/>
    <xf numFmtId="166" fontId="5" fillId="0" borderId="3" xfId="1" applyNumberFormat="1" applyFont="1" applyBorder="1"/>
    <xf numFmtId="166" fontId="5" fillId="0" borderId="5" xfId="0" applyNumberFormat="1" applyFont="1" applyBorder="1"/>
    <xf numFmtId="10" fontId="5" fillId="0" borderId="0" xfId="3" applyNumberFormat="1" applyFont="1" applyBorder="1"/>
    <xf numFmtId="166" fontId="5" fillId="0" borderId="6" xfId="0" applyNumberFormat="1" applyFont="1" applyBorder="1"/>
    <xf numFmtId="166" fontId="5" fillId="0" borderId="4" xfId="1" applyNumberFormat="1" applyFont="1" applyBorder="1"/>
    <xf numFmtId="166" fontId="5" fillId="0" borderId="2" xfId="1" applyNumberFormat="1" applyFont="1" applyBorder="1"/>
    <xf numFmtId="166" fontId="5" fillId="0" borderId="7" xfId="0" applyNumberFormat="1" applyFont="1" applyBorder="1"/>
    <xf numFmtId="10" fontId="5" fillId="0" borderId="8" xfId="3" applyNumberFormat="1" applyFont="1" applyBorder="1"/>
    <xf numFmtId="166" fontId="5" fillId="0" borderId="9" xfId="0" applyNumberFormat="1" applyFont="1" applyBorder="1"/>
    <xf numFmtId="0" fontId="5" fillId="0" borderId="0" xfId="0" applyFont="1" applyAlignment="1">
      <alignment horizontal="center"/>
    </xf>
    <xf numFmtId="166" fontId="5" fillId="0" borderId="0" xfId="1" applyNumberFormat="1" applyFont="1" applyAlignment="1">
      <alignment horizontal="center"/>
    </xf>
    <xf numFmtId="10" fontId="5" fillId="0" borderId="0" xfId="3" applyNumberFormat="1" applyFont="1" applyAlignment="1">
      <alignment horizontal="center"/>
    </xf>
    <xf numFmtId="166" fontId="4" fillId="0" borderId="0" xfId="1" applyNumberFormat="1" applyFont="1"/>
    <xf numFmtId="166" fontId="4" fillId="0" borderId="0" xfId="0" applyNumberFormat="1" applyFont="1"/>
    <xf numFmtId="166" fontId="4" fillId="0" borderId="1" xfId="1" applyNumberFormat="1" applyFont="1" applyBorder="1"/>
    <xf numFmtId="0" fontId="4" fillId="0" borderId="1" xfId="0" applyFont="1" applyBorder="1"/>
    <xf numFmtId="165" fontId="5" fillId="0" borderId="2" xfId="2" applyFont="1" applyBorder="1"/>
    <xf numFmtId="165" fontId="5" fillId="0" borderId="1" xfId="2" applyFont="1" applyBorder="1"/>
    <xf numFmtId="166" fontId="4" fillId="0" borderId="1" xfId="0" applyNumberFormat="1" applyFont="1" applyBorder="1"/>
    <xf numFmtId="9" fontId="6" fillId="5" borderId="1" xfId="3" applyFont="1" applyFill="1" applyBorder="1" applyAlignment="1">
      <alignment horizontal="center"/>
    </xf>
    <xf numFmtId="166" fontId="5" fillId="0" borderId="1" xfId="0" applyNumberFormat="1" applyFont="1" applyBorder="1"/>
    <xf numFmtId="166" fontId="8" fillId="2" borderId="1" xfId="0" applyNumberFormat="1" applyFont="1" applyFill="1" applyBorder="1"/>
    <xf numFmtId="10" fontId="11" fillId="0" borderId="0" xfId="3" applyNumberFormat="1" applyFont="1"/>
    <xf numFmtId="10" fontId="11" fillId="0" borderId="1" xfId="3" applyNumberFormat="1" applyFont="1" applyBorder="1"/>
    <xf numFmtId="167" fontId="4" fillId="0" borderId="0" xfId="0" applyNumberFormat="1" applyFont="1"/>
    <xf numFmtId="10" fontId="4" fillId="0" borderId="0" xfId="0" applyNumberFormat="1" applyFont="1"/>
    <xf numFmtId="165" fontId="4" fillId="0" borderId="0" xfId="0" applyNumberFormat="1" applyFont="1"/>
    <xf numFmtId="0" fontId="4" fillId="0" borderId="0" xfId="0" applyFont="1" applyFill="1" applyBorder="1"/>
    <xf numFmtId="166" fontId="4" fillId="0" borderId="13" xfId="0" applyNumberFormat="1" applyFont="1" applyBorder="1"/>
    <xf numFmtId="166" fontId="2" fillId="2" borderId="18" xfId="0" applyNumberFormat="1" applyFont="1" applyFill="1" applyBorder="1"/>
    <xf numFmtId="0" fontId="6" fillId="0" borderId="0" xfId="0" applyFont="1" applyFill="1" applyAlignment="1"/>
    <xf numFmtId="0" fontId="12" fillId="0" borderId="0" xfId="0" applyFont="1"/>
    <xf numFmtId="166" fontId="12" fillId="0" borderId="0" xfId="1" applyNumberFormat="1" applyFont="1"/>
    <xf numFmtId="10" fontId="12" fillId="0" borderId="0" xfId="3" applyNumberFormat="1" applyFont="1"/>
    <xf numFmtId="0" fontId="14" fillId="0" borderId="0" xfId="0" applyFont="1"/>
    <xf numFmtId="166" fontId="14" fillId="0" borderId="0" xfId="1" applyNumberFormat="1" applyFont="1"/>
    <xf numFmtId="10" fontId="14" fillId="0" borderId="0" xfId="3" applyNumberFormat="1" applyFont="1"/>
    <xf numFmtId="0" fontId="5" fillId="0" borderId="4" xfId="0" applyFont="1" applyBorder="1"/>
    <xf numFmtId="166" fontId="5" fillId="0" borderId="4" xfId="0" applyNumberFormat="1" applyFont="1" applyBorder="1"/>
    <xf numFmtId="10" fontId="12" fillId="0" borderId="4" xfId="3" applyNumberFormat="1" applyFont="1" applyBorder="1"/>
    <xf numFmtId="0" fontId="5" fillId="0" borderId="0" xfId="0" applyFont="1" applyFill="1"/>
    <xf numFmtId="168" fontId="7" fillId="2" borderId="0" xfId="3" applyNumberFormat="1" applyFont="1" applyFill="1" applyAlignment="1">
      <alignment horizontal="center"/>
    </xf>
    <xf numFmtId="168" fontId="7" fillId="2" borderId="1" xfId="3" applyNumberFormat="1" applyFont="1" applyFill="1" applyBorder="1" applyAlignment="1">
      <alignment horizontal="center"/>
    </xf>
    <xf numFmtId="10" fontId="5" fillId="0" borderId="0" xfId="0" applyNumberFormat="1" applyFont="1"/>
    <xf numFmtId="9" fontId="5" fillId="0" borderId="0" xfId="0" applyNumberFormat="1" applyFont="1"/>
    <xf numFmtId="40" fontId="5" fillId="0" borderId="1" xfId="0" applyNumberFormat="1" applyFont="1" applyBorder="1"/>
    <xf numFmtId="40" fontId="11" fillId="0" borderId="1" xfId="2" applyNumberFormat="1" applyFont="1" applyBorder="1"/>
    <xf numFmtId="40" fontId="11" fillId="0" borderId="0" xfId="2" applyNumberFormat="1" applyFont="1" applyBorder="1"/>
    <xf numFmtId="40" fontId="5" fillId="0" borderId="0" xfId="0" applyNumberFormat="1" applyFont="1"/>
    <xf numFmtId="40" fontId="5" fillId="0" borderId="0" xfId="2" applyNumberFormat="1" applyFont="1"/>
    <xf numFmtId="40" fontId="11" fillId="0" borderId="0" xfId="2" applyNumberFormat="1" applyFont="1"/>
    <xf numFmtId="40" fontId="4" fillId="0" borderId="0" xfId="2" applyNumberFormat="1" applyFont="1"/>
    <xf numFmtId="0" fontId="5" fillId="0" borderId="13" xfId="0" applyFont="1" applyBorder="1"/>
    <xf numFmtId="40" fontId="5" fillId="0" borderId="13" xfId="2" applyNumberFormat="1" applyFont="1" applyBorder="1"/>
    <xf numFmtId="40" fontId="11" fillId="0" borderId="13" xfId="2" applyNumberFormat="1" applyFont="1" applyBorder="1"/>
    <xf numFmtId="0" fontId="5" fillId="0" borderId="21" xfId="0" applyFont="1" applyBorder="1"/>
    <xf numFmtId="40" fontId="5" fillId="0" borderId="21" xfId="0" applyNumberFormat="1" applyFont="1" applyBorder="1"/>
    <xf numFmtId="40" fontId="11" fillId="0" borderId="21" xfId="2" applyNumberFormat="1" applyFont="1" applyBorder="1"/>
    <xf numFmtId="9" fontId="5" fillId="0" borderId="22" xfId="3" applyFont="1" applyBorder="1"/>
    <xf numFmtId="40" fontId="4" fillId="0" borderId="23" xfId="1" applyNumberFormat="1" applyFont="1" applyBorder="1"/>
    <xf numFmtId="10" fontId="4" fillId="0" borderId="23" xfId="3" applyNumberFormat="1" applyFont="1" applyBorder="1"/>
    <xf numFmtId="10" fontId="4" fillId="0" borderId="24" xfId="3" applyNumberFormat="1" applyFont="1" applyBorder="1"/>
    <xf numFmtId="0" fontId="5" fillId="0" borderId="22" xfId="0" applyFont="1" applyBorder="1"/>
    <xf numFmtId="0" fontId="4" fillId="0" borderId="23" xfId="0" applyFont="1" applyBorder="1"/>
    <xf numFmtId="10" fontId="4" fillId="0" borderId="23" xfId="3" applyNumberFormat="1" applyFont="1" applyFill="1" applyBorder="1"/>
    <xf numFmtId="0" fontId="4" fillId="0" borderId="24" xfId="0" applyFont="1" applyFill="1" applyBorder="1"/>
    <xf numFmtId="165" fontId="5" fillId="0" borderId="0" xfId="2" applyFont="1"/>
    <xf numFmtId="165" fontId="4" fillId="0" borderId="0" xfId="2" applyFont="1"/>
    <xf numFmtId="0" fontId="5" fillId="0" borderId="0" xfId="0" applyFont="1" applyBorder="1"/>
    <xf numFmtId="0" fontId="4" fillId="0" borderId="0" xfId="0" applyFont="1" applyBorder="1"/>
    <xf numFmtId="164" fontId="5" fillId="0" borderId="21" xfId="2" applyNumberFormat="1" applyFont="1" applyBorder="1"/>
    <xf numFmtId="164" fontId="5" fillId="0" borderId="1" xfId="2" applyNumberFormat="1" applyFont="1" applyBorder="1"/>
    <xf numFmtId="164" fontId="5" fillId="0" borderId="0" xfId="2" applyNumberFormat="1" applyFont="1"/>
    <xf numFmtId="164" fontId="5" fillId="0" borderId="0" xfId="2" applyNumberFormat="1" applyFont="1" applyBorder="1"/>
    <xf numFmtId="164" fontId="11" fillId="0" borderId="0" xfId="2" applyNumberFormat="1" applyFont="1"/>
    <xf numFmtId="164" fontId="4" fillId="0" borderId="23" xfId="1" applyNumberFormat="1" applyFont="1" applyBorder="1"/>
    <xf numFmtId="0" fontId="5" fillId="9" borderId="0" xfId="0" applyFont="1" applyFill="1"/>
    <xf numFmtId="0" fontId="5" fillId="9" borderId="13" xfId="0" applyFont="1" applyFill="1" applyBorder="1" applyAlignment="1">
      <alignment horizontal="center"/>
    </xf>
    <xf numFmtId="166" fontId="5" fillId="9" borderId="13" xfId="1" applyNumberFormat="1" applyFont="1" applyFill="1" applyBorder="1" applyAlignment="1">
      <alignment horizontal="center"/>
    </xf>
    <xf numFmtId="0" fontId="5" fillId="9" borderId="0" xfId="0" applyFont="1" applyFill="1" applyAlignment="1">
      <alignment horizontal="center"/>
    </xf>
    <xf numFmtId="168" fontId="6" fillId="2" borderId="0" xfId="3" applyNumberFormat="1" applyFont="1" applyFill="1" applyAlignment="1">
      <alignment horizontal="center"/>
    </xf>
    <xf numFmtId="168" fontId="6" fillId="2" borderId="1" xfId="3" applyNumberFormat="1" applyFont="1" applyFill="1" applyBorder="1" applyAlignment="1">
      <alignment horizontal="center"/>
    </xf>
    <xf numFmtId="0" fontId="14" fillId="9" borderId="0" xfId="0" applyFont="1" applyFill="1"/>
    <xf numFmtId="0" fontId="6" fillId="2" borderId="13" xfId="0" applyFont="1" applyFill="1" applyBorder="1" applyAlignment="1">
      <alignment horizontal="center"/>
    </xf>
    <xf numFmtId="0" fontId="4" fillId="9" borderId="13" xfId="0" applyFont="1" applyFill="1" applyBorder="1" applyAlignment="1">
      <alignment horizontal="center"/>
    </xf>
    <xf numFmtId="164" fontId="11" fillId="0" borderId="1" xfId="2" applyNumberFormat="1" applyFont="1" applyBorder="1"/>
    <xf numFmtId="164" fontId="5" fillId="0" borderId="4" xfId="2" applyNumberFormat="1" applyFont="1" applyBorder="1"/>
    <xf numFmtId="9" fontId="5" fillId="0" borderId="0" xfId="3" applyFont="1" applyBorder="1"/>
    <xf numFmtId="43" fontId="5" fillId="0" borderId="0" xfId="1" applyFont="1" applyBorder="1"/>
    <xf numFmtId="43" fontId="5" fillId="0" borderId="0" xfId="1" applyFont="1" applyBorder="1" applyAlignment="1">
      <alignment horizontal="center"/>
    </xf>
    <xf numFmtId="43" fontId="4" fillId="0" borderId="0" xfId="3" applyNumberFormat="1" applyFont="1" applyBorder="1"/>
    <xf numFmtId="0" fontId="4" fillId="10" borderId="0" xfId="0" applyFont="1" applyFill="1"/>
    <xf numFmtId="43" fontId="5" fillId="10" borderId="0" xfId="1" applyFont="1" applyFill="1" applyBorder="1"/>
    <xf numFmtId="0" fontId="4" fillId="10" borderId="1" xfId="0" applyFont="1" applyFill="1" applyBorder="1"/>
    <xf numFmtId="0" fontId="5" fillId="10" borderId="0" xfId="0" applyFont="1" applyFill="1"/>
    <xf numFmtId="0" fontId="5" fillId="10" borderId="1" xfId="0" applyFont="1" applyFill="1" applyBorder="1"/>
    <xf numFmtId="43" fontId="5" fillId="10" borderId="1" xfId="1" applyFont="1" applyFill="1" applyBorder="1"/>
    <xf numFmtId="169" fontId="5" fillId="0" borderId="0" xfId="1" applyNumberFormat="1" applyFont="1" applyBorder="1"/>
    <xf numFmtId="0" fontId="4" fillId="9" borderId="0" xfId="0" applyFont="1" applyFill="1"/>
    <xf numFmtId="43" fontId="5" fillId="9" borderId="0" xfId="1" applyFont="1" applyFill="1"/>
    <xf numFmtId="43" fontId="5" fillId="9" borderId="0" xfId="0" applyNumberFormat="1" applyFont="1" applyFill="1"/>
    <xf numFmtId="165" fontId="5" fillId="9" borderId="0" xfId="2" applyFont="1" applyFill="1"/>
    <xf numFmtId="165" fontId="4" fillId="9" borderId="0" xfId="2" applyFont="1" applyFill="1"/>
    <xf numFmtId="165" fontId="5" fillId="9" borderId="1" xfId="2" applyFont="1" applyFill="1" applyBorder="1"/>
    <xf numFmtId="10" fontId="5" fillId="9" borderId="0" xfId="3" applyNumberFormat="1" applyFont="1" applyFill="1"/>
    <xf numFmtId="0" fontId="16" fillId="9" borderId="0" xfId="0" applyFont="1" applyFill="1"/>
    <xf numFmtId="0" fontId="17" fillId="9" borderId="0" xfId="0" applyFont="1" applyFill="1"/>
    <xf numFmtId="0" fontId="4" fillId="9" borderId="0" xfId="0" applyFont="1" applyFill="1" applyBorder="1" applyAlignment="1">
      <alignment horizontal="center"/>
    </xf>
    <xf numFmtId="165" fontId="5" fillId="9" borderId="13" xfId="2" applyFont="1" applyFill="1" applyBorder="1" applyAlignment="1">
      <alignment horizontal="center"/>
    </xf>
    <xf numFmtId="166" fontId="18" fillId="9" borderId="0" xfId="1" applyNumberFormat="1" applyFont="1" applyFill="1" applyAlignment="1">
      <alignment horizontal="center"/>
    </xf>
    <xf numFmtId="0" fontId="18" fillId="9" borderId="0" xfId="0" applyFont="1" applyFill="1"/>
    <xf numFmtId="166" fontId="18" fillId="9" borderId="0" xfId="0" applyNumberFormat="1" applyFont="1" applyFill="1"/>
    <xf numFmtId="0" fontId="5" fillId="9" borderId="0" xfId="0" applyFont="1" applyFill="1" applyBorder="1"/>
    <xf numFmtId="0" fontId="5" fillId="9" borderId="0" xfId="0" applyFont="1" applyFill="1" applyBorder="1" applyAlignment="1">
      <alignment horizontal="center"/>
    </xf>
    <xf numFmtId="9" fontId="5" fillId="9" borderId="0" xfId="0" applyNumberFormat="1" applyFont="1" applyFill="1" applyBorder="1" applyAlignment="1">
      <alignment horizontal="center"/>
    </xf>
    <xf numFmtId="166" fontId="5" fillId="9" borderId="0" xfId="0" applyNumberFormat="1" applyFont="1" applyFill="1" applyBorder="1"/>
    <xf numFmtId="10" fontId="5" fillId="9" borderId="0" xfId="3" applyNumberFormat="1" applyFont="1" applyFill="1" applyBorder="1" applyAlignment="1">
      <alignment horizontal="center"/>
    </xf>
    <xf numFmtId="0" fontId="5" fillId="9" borderId="7" xfId="0" applyFont="1" applyFill="1" applyBorder="1"/>
    <xf numFmtId="164" fontId="5" fillId="9" borderId="9" xfId="0" applyNumberFormat="1" applyFont="1" applyFill="1" applyBorder="1"/>
    <xf numFmtId="0" fontId="2" fillId="11" borderId="13" xfId="0" applyFont="1" applyFill="1" applyBorder="1" applyAlignment="1">
      <alignment horizontal="center" vertical="center" wrapText="1"/>
    </xf>
    <xf numFmtId="0" fontId="0" fillId="0" borderId="13" xfId="0" applyBorder="1"/>
    <xf numFmtId="0" fontId="0" fillId="9" borderId="13" xfId="0" applyNumberFormat="1" applyFill="1" applyBorder="1" applyAlignment="1">
      <alignment horizontal="center"/>
    </xf>
    <xf numFmtId="3" fontId="0" fillId="9" borderId="13" xfId="0" applyNumberFormat="1" applyFill="1" applyBorder="1" applyAlignment="1">
      <alignment horizontal="center"/>
    </xf>
    <xf numFmtId="0" fontId="0" fillId="9" borderId="13" xfId="0" applyFill="1" applyBorder="1" applyAlignment="1">
      <alignment horizontal="center"/>
    </xf>
    <xf numFmtId="0" fontId="2" fillId="2" borderId="13" xfId="0" applyFont="1" applyFill="1" applyBorder="1" applyAlignment="1">
      <alignment horizontal="center" vertical="center" wrapText="1"/>
    </xf>
    <xf numFmtId="166" fontId="0" fillId="0" borderId="0" xfId="0" applyNumberFormat="1"/>
    <xf numFmtId="166" fontId="0" fillId="0" borderId="0" xfId="1" applyNumberFormat="1" applyFont="1"/>
    <xf numFmtId="9" fontId="0" fillId="0" borderId="0" xfId="0" applyNumberFormat="1"/>
    <xf numFmtId="0" fontId="0" fillId="2" borderId="0" xfId="0" applyFill="1"/>
    <xf numFmtId="1" fontId="0" fillId="0" borderId="0" xfId="0" applyNumberFormat="1"/>
    <xf numFmtId="10" fontId="0" fillId="0" borderId="0" xfId="0" applyNumberFormat="1"/>
    <xf numFmtId="9" fontId="0" fillId="0" borderId="0" xfId="3" applyFont="1"/>
    <xf numFmtId="10" fontId="9" fillId="2" borderId="0" xfId="0" applyNumberFormat="1" applyFont="1" applyFill="1"/>
    <xf numFmtId="166" fontId="5" fillId="12" borderId="0" xfId="0" applyNumberFormat="1" applyFont="1" applyFill="1"/>
    <xf numFmtId="0" fontId="5" fillId="0" borderId="13" xfId="0" applyFont="1" applyBorder="1" applyAlignment="1">
      <alignment horizontal="center"/>
    </xf>
    <xf numFmtId="166" fontId="5" fillId="0" borderId="13" xfId="1" applyNumberFormat="1" applyFont="1" applyFill="1" applyBorder="1" applyAlignment="1">
      <alignment horizontal="center"/>
    </xf>
    <xf numFmtId="167" fontId="5" fillId="9" borderId="0" xfId="2" applyNumberFormat="1" applyFont="1" applyFill="1"/>
    <xf numFmtId="167" fontId="4" fillId="9" borderId="0" xfId="0" applyNumberFormat="1" applyFont="1" applyFill="1"/>
    <xf numFmtId="167" fontId="5" fillId="9" borderId="0" xfId="2" applyNumberFormat="1" applyFont="1" applyFill="1" applyBorder="1" applyAlignment="1">
      <alignment horizontal="center"/>
    </xf>
    <xf numFmtId="167" fontId="5" fillId="9" borderId="0" xfId="0" applyNumberFormat="1" applyFont="1" applyFill="1"/>
    <xf numFmtId="167" fontId="4" fillId="9" borderId="0" xfId="2" applyNumberFormat="1" applyFont="1" applyFill="1"/>
    <xf numFmtId="164" fontId="5" fillId="9" borderId="0" xfId="0" applyNumberFormat="1" applyFont="1" applyFill="1"/>
    <xf numFmtId="170" fontId="11" fillId="9" borderId="0" xfId="0" applyNumberFormat="1" applyFont="1" applyFill="1"/>
    <xf numFmtId="166" fontId="4" fillId="0" borderId="0" xfId="0" applyNumberFormat="1" applyFont="1" applyBorder="1"/>
    <xf numFmtId="43" fontId="5" fillId="9" borderId="0" xfId="1" applyFont="1" applyFill="1" applyBorder="1" applyAlignment="1">
      <alignment horizontal="center"/>
    </xf>
    <xf numFmtId="10" fontId="5" fillId="9" borderId="0" xfId="3" applyNumberFormat="1" applyFont="1" applyFill="1" applyBorder="1"/>
    <xf numFmtId="10" fontId="5" fillId="9" borderId="0" xfId="0" applyNumberFormat="1" applyFont="1" applyFill="1"/>
    <xf numFmtId="9" fontId="5" fillId="9" borderId="0" xfId="0" applyNumberFormat="1" applyFont="1" applyFill="1" applyBorder="1"/>
    <xf numFmtId="0" fontId="4" fillId="9" borderId="0" xfId="0" applyFont="1" applyFill="1" applyAlignment="1">
      <alignment horizontal="center"/>
    </xf>
    <xf numFmtId="10" fontId="4" fillId="9" borderId="0" xfId="0" applyNumberFormat="1" applyFont="1" applyFill="1" applyAlignment="1">
      <alignment horizontal="center"/>
    </xf>
    <xf numFmtId="166" fontId="5" fillId="9" borderId="0" xfId="0" applyNumberFormat="1" applyFont="1" applyFill="1"/>
    <xf numFmtId="167" fontId="4" fillId="9" borderId="1" xfId="0" applyNumberFormat="1" applyFont="1" applyFill="1" applyBorder="1"/>
    <xf numFmtId="167" fontId="4" fillId="9" borderId="1" xfId="2" applyNumberFormat="1" applyFont="1" applyFill="1" applyBorder="1"/>
    <xf numFmtId="0" fontId="20" fillId="9" borderId="13" xfId="0" applyFont="1" applyFill="1" applyBorder="1"/>
    <xf numFmtId="0" fontId="20" fillId="9" borderId="0" xfId="0" applyFont="1" applyFill="1"/>
    <xf numFmtId="166" fontId="16" fillId="9" borderId="0" xfId="0" applyNumberFormat="1" applyFont="1" applyFill="1"/>
    <xf numFmtId="0" fontId="16" fillId="9" borderId="1" xfId="0" applyFont="1" applyFill="1" applyBorder="1"/>
    <xf numFmtId="43" fontId="20" fillId="9" borderId="1" xfId="1" applyFont="1" applyFill="1" applyBorder="1"/>
    <xf numFmtId="43" fontId="20" fillId="9" borderId="0" xfId="0" applyNumberFormat="1" applyFont="1" applyFill="1"/>
    <xf numFmtId="40" fontId="16" fillId="9" borderId="1" xfId="3" applyNumberFormat="1" applyFont="1" applyFill="1" applyBorder="1"/>
    <xf numFmtId="40" fontId="21" fillId="9" borderId="1" xfId="2" applyNumberFormat="1" applyFont="1" applyFill="1" applyBorder="1"/>
    <xf numFmtId="10" fontId="20" fillId="9" borderId="0" xfId="3" applyNumberFormat="1" applyFont="1" applyFill="1"/>
    <xf numFmtId="0" fontId="20" fillId="9" borderId="1" xfId="0" applyFont="1" applyFill="1" applyBorder="1"/>
    <xf numFmtId="164" fontId="16" fillId="9" borderId="0" xfId="2" applyNumberFormat="1" applyFont="1" applyFill="1"/>
    <xf numFmtId="164" fontId="20" fillId="9" borderId="1" xfId="2" applyNumberFormat="1" applyFont="1" applyFill="1" applyBorder="1"/>
    <xf numFmtId="0" fontId="20" fillId="9" borderId="0" xfId="0" applyFont="1" applyFill="1" applyAlignment="1">
      <alignment horizontal="center"/>
    </xf>
    <xf numFmtId="40" fontId="20" fillId="9" borderId="0" xfId="2" applyNumberFormat="1" applyFont="1" applyFill="1"/>
    <xf numFmtId="40" fontId="20" fillId="9" borderId="13" xfId="2" applyNumberFormat="1" applyFont="1" applyFill="1" applyBorder="1"/>
    <xf numFmtId="40" fontId="21" fillId="9" borderId="13" xfId="2" applyNumberFormat="1" applyFont="1" applyFill="1" applyBorder="1"/>
    <xf numFmtId="0" fontId="20" fillId="9" borderId="21" xfId="0" applyFont="1" applyFill="1" applyBorder="1"/>
    <xf numFmtId="40" fontId="21" fillId="9" borderId="21" xfId="2" applyNumberFormat="1" applyFont="1" applyFill="1" applyBorder="1"/>
    <xf numFmtId="0" fontId="20" fillId="9" borderId="22" xfId="0" applyFont="1" applyFill="1" applyBorder="1"/>
    <xf numFmtId="10" fontId="20" fillId="9" borderId="22" xfId="3" applyNumberFormat="1" applyFont="1" applyFill="1" applyBorder="1"/>
    <xf numFmtId="0" fontId="16" fillId="9" borderId="23" xfId="0" applyFont="1" applyFill="1" applyBorder="1"/>
    <xf numFmtId="40" fontId="16" fillId="9" borderId="23" xfId="1" applyNumberFormat="1" applyFont="1" applyFill="1" applyBorder="1"/>
    <xf numFmtId="10" fontId="16" fillId="9" borderId="23" xfId="3" applyNumberFormat="1" applyFont="1" applyFill="1" applyBorder="1"/>
    <xf numFmtId="0" fontId="16" fillId="9" borderId="24" xfId="0" applyFont="1" applyFill="1" applyBorder="1"/>
    <xf numFmtId="10" fontId="16" fillId="9" borderId="24" xfId="3" applyNumberFormat="1" applyFont="1" applyFill="1" applyBorder="1"/>
    <xf numFmtId="0" fontId="22" fillId="6" borderId="13" xfId="0" applyFont="1" applyFill="1" applyBorder="1" applyAlignment="1">
      <alignment horizontal="center"/>
    </xf>
    <xf numFmtId="0" fontId="23" fillId="9" borderId="13" xfId="0" applyFont="1" applyFill="1" applyBorder="1" applyAlignment="1">
      <alignment horizontal="center"/>
    </xf>
    <xf numFmtId="9" fontId="23" fillId="9" borderId="13" xfId="0" applyNumberFormat="1" applyFont="1" applyFill="1" applyBorder="1" applyAlignment="1">
      <alignment horizontal="center"/>
    </xf>
    <xf numFmtId="166" fontId="23" fillId="9" borderId="2" xfId="0" applyNumberFormat="1" applyFont="1" applyFill="1" applyBorder="1" applyAlignment="1">
      <alignment horizontal="center"/>
    </xf>
    <xf numFmtId="171" fontId="23" fillId="9" borderId="16" xfId="3" applyNumberFormat="1" applyFont="1" applyFill="1" applyBorder="1" applyAlignment="1">
      <alignment horizontal="center"/>
    </xf>
    <xf numFmtId="10" fontId="23" fillId="9" borderId="13" xfId="3" applyNumberFormat="1" applyFont="1" applyFill="1" applyBorder="1" applyAlignment="1">
      <alignment horizontal="center"/>
    </xf>
    <xf numFmtId="10" fontId="23" fillId="9" borderId="16" xfId="3" applyNumberFormat="1" applyFont="1" applyFill="1" applyBorder="1" applyAlignment="1">
      <alignment horizontal="center"/>
    </xf>
    <xf numFmtId="0" fontId="5" fillId="9" borderId="25" xfId="0" applyFont="1" applyFill="1" applyBorder="1"/>
    <xf numFmtId="10" fontId="5" fillId="9" borderId="26" xfId="0" applyNumberFormat="1" applyFont="1" applyFill="1" applyBorder="1"/>
    <xf numFmtId="0" fontId="18" fillId="9" borderId="0" xfId="0" applyFont="1" applyFill="1" applyBorder="1"/>
    <xf numFmtId="40" fontId="6" fillId="9" borderId="0" xfId="3" applyNumberFormat="1" applyFont="1" applyFill="1" applyBorder="1"/>
    <xf numFmtId="40" fontId="18" fillId="9" borderId="0" xfId="2" applyNumberFormat="1" applyFont="1" applyFill="1" applyBorder="1"/>
    <xf numFmtId="10" fontId="18" fillId="9" borderId="0" xfId="3" applyNumberFormat="1" applyFont="1" applyFill="1" applyBorder="1"/>
    <xf numFmtId="166" fontId="6" fillId="9" borderId="0" xfId="1" applyNumberFormat="1" applyFont="1" applyFill="1" applyBorder="1"/>
    <xf numFmtId="164" fontId="6" fillId="9" borderId="0" xfId="2" applyNumberFormat="1" applyFont="1" applyFill="1" applyBorder="1"/>
    <xf numFmtId="166" fontId="18" fillId="9" borderId="0" xfId="1" applyNumberFormat="1" applyFont="1" applyFill="1" applyBorder="1"/>
    <xf numFmtId="164" fontId="18" fillId="9" borderId="0" xfId="2" applyNumberFormat="1" applyFont="1" applyFill="1" applyBorder="1"/>
    <xf numFmtId="9" fontId="18" fillId="9" borderId="0" xfId="3" applyFont="1" applyFill="1" applyBorder="1"/>
    <xf numFmtId="40" fontId="6" fillId="9" borderId="0" xfId="1" applyNumberFormat="1" applyFont="1" applyFill="1" applyBorder="1"/>
    <xf numFmtId="10" fontId="6" fillId="9" borderId="0" xfId="3" applyNumberFormat="1" applyFont="1" applyFill="1" applyBorder="1"/>
    <xf numFmtId="43" fontId="6" fillId="9" borderId="0" xfId="1" applyFont="1" applyFill="1" applyBorder="1"/>
    <xf numFmtId="165" fontId="18" fillId="9" borderId="0" xfId="2" applyFont="1" applyFill="1" applyBorder="1"/>
    <xf numFmtId="10" fontId="24" fillId="9" borderId="0" xfId="3" applyNumberFormat="1" applyFont="1" applyFill="1" applyBorder="1"/>
    <xf numFmtId="0" fontId="9" fillId="9" borderId="0" xfId="0" applyFont="1" applyFill="1" applyBorder="1"/>
    <xf numFmtId="43" fontId="18" fillId="9" borderId="0" xfId="1" applyFont="1" applyFill="1" applyBorder="1"/>
    <xf numFmtId="0" fontId="2" fillId="9" borderId="0" xfId="0" applyFont="1" applyFill="1" applyBorder="1"/>
    <xf numFmtId="9" fontId="9" fillId="9" borderId="0" xfId="3" applyFont="1" applyFill="1" applyBorder="1"/>
    <xf numFmtId="43" fontId="25" fillId="9" borderId="0" xfId="1" applyFont="1" applyFill="1"/>
    <xf numFmtId="43" fontId="14" fillId="9" borderId="0" xfId="0" applyNumberFormat="1" applyFont="1" applyFill="1"/>
    <xf numFmtId="10" fontId="25" fillId="9" borderId="0" xfId="3" applyNumberFormat="1" applyFont="1" applyFill="1"/>
    <xf numFmtId="0" fontId="25" fillId="9" borderId="0" xfId="0" applyFont="1" applyFill="1"/>
    <xf numFmtId="10" fontId="14" fillId="9" borderId="0" xfId="3" applyNumberFormat="1" applyFont="1" applyFill="1"/>
    <xf numFmtId="0" fontId="6" fillId="9" borderId="0" xfId="0" applyFont="1" applyFill="1" applyBorder="1"/>
    <xf numFmtId="0" fontId="2" fillId="3" borderId="4" xfId="0" applyFont="1" applyFill="1" applyBorder="1" applyAlignment="1">
      <alignment horizontal="center"/>
    </xf>
    <xf numFmtId="0" fontId="2" fillId="3" borderId="0" xfId="0" applyFont="1" applyFill="1" applyBorder="1" applyAlignment="1">
      <alignment horizontal="center"/>
    </xf>
    <xf numFmtId="0" fontId="5" fillId="4" borderId="0" xfId="0" applyFont="1" applyFill="1" applyAlignment="1">
      <alignment horizontal="center"/>
    </xf>
    <xf numFmtId="0" fontId="5" fillId="7" borderId="4" xfId="0" applyFont="1" applyFill="1" applyBorder="1" applyAlignment="1">
      <alignment horizontal="center"/>
    </xf>
    <xf numFmtId="0" fontId="5" fillId="7" borderId="0" xfId="0" applyFont="1" applyFill="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5" fillId="0" borderId="13" xfId="0" applyFont="1" applyBorder="1" applyAlignment="1">
      <alignment horizontal="center"/>
    </xf>
    <xf numFmtId="0" fontId="9" fillId="6" borderId="0" xfId="0" applyFont="1" applyFill="1" applyAlignment="1">
      <alignment horizontal="center"/>
    </xf>
    <xf numFmtId="0" fontId="4" fillId="0" borderId="17" xfId="0" applyFont="1" applyBorder="1" applyAlignment="1">
      <alignment horizontal="center" wrapText="1"/>
    </xf>
    <xf numFmtId="0" fontId="4" fillId="0" borderId="16" xfId="0" applyFont="1" applyBorder="1" applyAlignment="1">
      <alignment horizontal="center" wrapText="1"/>
    </xf>
    <xf numFmtId="0" fontId="6" fillId="8" borderId="0" xfId="0" applyFont="1" applyFill="1" applyAlignment="1">
      <alignment horizontal="center"/>
    </xf>
    <xf numFmtId="0" fontId="6" fillId="6" borderId="0" xfId="0" applyFont="1" applyFill="1" applyAlignment="1">
      <alignment horizontal="center"/>
    </xf>
    <xf numFmtId="0" fontId="10" fillId="7" borderId="13" xfId="0" applyFont="1" applyFill="1" applyBorder="1" applyAlignment="1">
      <alignment horizontal="center"/>
    </xf>
    <xf numFmtId="0" fontId="15" fillId="4" borderId="15" xfId="0" applyFont="1" applyFill="1" applyBorder="1" applyAlignment="1">
      <alignment horizontal="center"/>
    </xf>
    <xf numFmtId="0" fontId="15" fillId="4" borderId="19" xfId="0" applyFont="1" applyFill="1" applyBorder="1" applyAlignment="1">
      <alignment horizontal="center"/>
    </xf>
    <xf numFmtId="0" fontId="15" fillId="4" borderId="20" xfId="0" applyFont="1" applyFill="1" applyBorder="1" applyAlignment="1">
      <alignment horizontal="center"/>
    </xf>
  </cellXfs>
  <cellStyles count="4">
    <cellStyle name="Millares" xfId="1" builtinId="3"/>
    <cellStyle name="Moneda" xfId="2" builtinId="4"/>
    <cellStyle name="Normal" xfId="0" builtinId="0"/>
    <cellStyle name="Porcentaje" xfId="3"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47625</xdr:rowOff>
    </xdr:from>
    <xdr:to>
      <xdr:col>19</xdr:col>
      <xdr:colOff>85725</xdr:colOff>
      <xdr:row>30</xdr:row>
      <xdr:rowOff>76200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47625"/>
          <a:ext cx="7705725"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28575</xdr:colOff>
      <xdr:row>31</xdr:row>
      <xdr:rowOff>142875</xdr:rowOff>
    </xdr:from>
    <xdr:to>
      <xdr:col>19</xdr:col>
      <xdr:colOff>142875</xdr:colOff>
      <xdr:row>55</xdr:row>
      <xdr:rowOff>123825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01175" y="5210175"/>
          <a:ext cx="77343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17</xdr:row>
      <xdr:rowOff>104775</xdr:rowOff>
    </xdr:from>
    <xdr:to>
      <xdr:col>12</xdr:col>
      <xdr:colOff>485775</xdr:colOff>
      <xdr:row>46</xdr:row>
      <xdr:rowOff>95250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857500"/>
          <a:ext cx="10648950"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9"/>
  <sheetViews>
    <sheetView tabSelected="1" topLeftCell="A19" workbookViewId="0">
      <selection activeCell="I45" sqref="I45"/>
    </sheetView>
  </sheetViews>
  <sheetFormatPr baseColWidth="10" defaultRowHeight="12.75" x14ac:dyDescent="0.2"/>
  <cols>
    <col min="1" max="1" width="27.85546875" style="112" customWidth="1"/>
    <col min="2" max="2" width="30.5703125" style="112" customWidth="1"/>
    <col min="3" max="3" width="22.28515625" style="112" customWidth="1"/>
    <col min="4" max="4" width="22" style="112" customWidth="1"/>
    <col min="5" max="5" width="22.42578125" style="112" customWidth="1"/>
    <col min="6" max="6" width="29.7109375" style="112" customWidth="1"/>
    <col min="7" max="7" width="14.5703125" style="112" bestFit="1" customWidth="1"/>
    <col min="8" max="8" width="15.5703125" style="112" customWidth="1"/>
    <col min="9" max="9" width="15.42578125" style="112" bestFit="1" customWidth="1"/>
    <col min="10" max="13" width="15.28515625" style="112" bestFit="1" customWidth="1"/>
    <col min="14" max="14" width="18.42578125" style="112" customWidth="1"/>
    <col min="15" max="16384" width="11.42578125" style="112"/>
  </cols>
  <sheetData>
    <row r="1" spans="1:14" ht="15.75" x14ac:dyDescent="0.25">
      <c r="A1" s="141" t="s">
        <v>82</v>
      </c>
      <c r="B1" s="118"/>
    </row>
    <row r="2" spans="1:14" ht="15.75" x14ac:dyDescent="0.25">
      <c r="A2" s="141"/>
      <c r="B2" s="118"/>
    </row>
    <row r="3" spans="1:14" x14ac:dyDescent="0.2">
      <c r="A3" s="113" t="s">
        <v>83</v>
      </c>
      <c r="B3" s="113" t="s">
        <v>84</v>
      </c>
    </row>
    <row r="4" spans="1:14" x14ac:dyDescent="0.2">
      <c r="A4" s="144">
        <v>940</v>
      </c>
      <c r="B4" s="144">
        <f>A4*12</f>
        <v>11280</v>
      </c>
    </row>
    <row r="5" spans="1:14" x14ac:dyDescent="0.2">
      <c r="A5" s="137"/>
    </row>
    <row r="6" spans="1:14" x14ac:dyDescent="0.2">
      <c r="A6" s="119">
        <v>2019</v>
      </c>
      <c r="B6" s="119">
        <v>1</v>
      </c>
      <c r="C6" s="119">
        <v>2</v>
      </c>
      <c r="D6" s="119">
        <v>3</v>
      </c>
      <c r="E6" s="119">
        <v>4</v>
      </c>
      <c r="F6" s="119">
        <v>5</v>
      </c>
      <c r="G6" s="119">
        <v>6</v>
      </c>
      <c r="H6" s="119">
        <v>7</v>
      </c>
      <c r="I6" s="119">
        <v>8</v>
      </c>
      <c r="J6" s="119">
        <v>9</v>
      </c>
      <c r="K6" s="119">
        <v>10</v>
      </c>
      <c r="L6" s="119">
        <v>11</v>
      </c>
      <c r="M6" s="119">
        <v>12</v>
      </c>
    </row>
    <row r="7" spans="1:14" x14ac:dyDescent="0.2">
      <c r="A7" s="120" t="s">
        <v>71</v>
      </c>
      <c r="B7" s="114">
        <f>M33*(1+$C$42)</f>
        <v>1923.925</v>
      </c>
      <c r="C7" s="114">
        <f t="shared" ref="C7:M7" si="0">B7*(1+$C$42)</f>
        <v>2366.4277499999998</v>
      </c>
      <c r="D7" s="114">
        <f t="shared" si="0"/>
        <v>2910.7061325</v>
      </c>
      <c r="E7" s="114">
        <f t="shared" si="0"/>
        <v>3580.168542975</v>
      </c>
      <c r="F7" s="114">
        <f t="shared" si="0"/>
        <v>4403.6073078592499</v>
      </c>
      <c r="G7" s="114">
        <f t="shared" si="0"/>
        <v>5416.4369886668774</v>
      </c>
      <c r="H7" s="114">
        <f t="shared" si="0"/>
        <v>6662.2174960602588</v>
      </c>
      <c r="I7" s="114">
        <f t="shared" si="0"/>
        <v>8194.527520154119</v>
      </c>
      <c r="J7" s="114">
        <f t="shared" si="0"/>
        <v>10079.268849789567</v>
      </c>
      <c r="K7" s="114">
        <f t="shared" si="0"/>
        <v>12397.500685241168</v>
      </c>
      <c r="L7" s="114">
        <f t="shared" si="0"/>
        <v>15248.925842846636</v>
      </c>
      <c r="M7" s="114">
        <f t="shared" si="0"/>
        <v>18756.178786701363</v>
      </c>
    </row>
    <row r="8" spans="1:14" x14ac:dyDescent="0.2">
      <c r="A8" s="120" t="s">
        <v>72</v>
      </c>
      <c r="B8" s="114"/>
      <c r="C8" s="114">
        <f>C7-B7</f>
        <v>442.50274999999988</v>
      </c>
      <c r="D8" s="114">
        <f t="shared" ref="D8:M8" si="1">D7-C7</f>
        <v>544.27838250000013</v>
      </c>
      <c r="E8" s="114">
        <f t="shared" si="1"/>
        <v>669.46241047500007</v>
      </c>
      <c r="F8" s="114">
        <f t="shared" si="1"/>
        <v>823.43876488424985</v>
      </c>
      <c r="G8" s="114">
        <f t="shared" si="1"/>
        <v>1012.8296808076275</v>
      </c>
      <c r="H8" s="114">
        <f t="shared" si="1"/>
        <v>1245.7805073933814</v>
      </c>
      <c r="I8" s="114">
        <f t="shared" si="1"/>
        <v>1532.3100240938602</v>
      </c>
      <c r="J8" s="114">
        <f t="shared" si="1"/>
        <v>1884.741329635448</v>
      </c>
      <c r="K8" s="114">
        <f t="shared" si="1"/>
        <v>2318.231835451601</v>
      </c>
      <c r="L8" s="114">
        <f t="shared" si="1"/>
        <v>2851.4251576054685</v>
      </c>
      <c r="M8" s="114">
        <f t="shared" si="1"/>
        <v>3507.2529438547263</v>
      </c>
      <c r="N8" s="169">
        <f>SUM(C8:M8,B7)</f>
        <v>18756.178786701363</v>
      </c>
    </row>
    <row r="9" spans="1:14" x14ac:dyDescent="0.2">
      <c r="A9" s="143" t="s">
        <v>87</v>
      </c>
      <c r="B9" s="174">
        <v>0</v>
      </c>
      <c r="C9" s="174">
        <v>0</v>
      </c>
      <c r="D9" s="174">
        <v>0</v>
      </c>
      <c r="E9" s="174">
        <v>0</v>
      </c>
      <c r="F9" s="174">
        <v>0</v>
      </c>
      <c r="G9" s="174">
        <v>0</v>
      </c>
      <c r="H9" s="174">
        <v>0</v>
      </c>
      <c r="I9" s="174">
        <v>0</v>
      </c>
      <c r="J9" s="174">
        <v>0</v>
      </c>
      <c r="K9" s="174">
        <v>0</v>
      </c>
      <c r="L9" s="174">
        <v>0</v>
      </c>
      <c r="M9" s="174">
        <v>0</v>
      </c>
      <c r="N9" s="175"/>
    </row>
    <row r="10" spans="1:14" x14ac:dyDescent="0.2">
      <c r="A10" s="143" t="s">
        <v>30</v>
      </c>
      <c r="B10" s="174">
        <f>B7*Simulación!$E$17*B13</f>
        <v>112572699.59999999</v>
      </c>
      <c r="C10" s="174">
        <f>C8*Simulación!$E$17*C13</f>
        <v>23734077.498999994</v>
      </c>
      <c r="D10" s="174">
        <f>D8*Simulación!$E$17*D13</f>
        <v>26539013.930700008</v>
      </c>
      <c r="E10" s="174">
        <f>E8*Simulación!$E$17*E13</f>
        <v>29378688.421284903</v>
      </c>
      <c r="F10" s="174">
        <f>F8*Simulación!$E$17*F13</f>
        <v>32120699.340604819</v>
      </c>
      <c r="G10" s="174">
        <f>G8*Simulación!$E$17*G13</f>
        <v>34569902.66532594</v>
      </c>
      <c r="H10" s="174">
        <f>H8*Simulación!$E$17*H13</f>
        <v>36446554.524300769</v>
      </c>
      <c r="I10" s="174">
        <f>I8*Simulación!$E$17*I13</f>
        <v>37357718.387408316</v>
      </c>
      <c r="J10" s="174">
        <f>J8*Simulación!$E$17*J13</f>
        <v>36759994.893209778</v>
      </c>
      <c r="K10" s="174">
        <f>K8*Simulación!$E$17*K13</f>
        <v>33911095.28898602</v>
      </c>
      <c r="L10" s="174">
        <f>L8*Simulación!$E$17*L13</f>
        <v>27807098.136968527</v>
      </c>
      <c r="M10" s="174">
        <f>M8*Simulación!$E$17*M13</f>
        <v>17101365.354235645</v>
      </c>
      <c r="N10" s="188">
        <f>SUM(B10:M10)</f>
        <v>448298908.04202473</v>
      </c>
    </row>
    <row r="11" spans="1:14" x14ac:dyDescent="0.2">
      <c r="A11" s="115" t="s">
        <v>125</v>
      </c>
      <c r="B11" s="186">
        <f t="shared" ref="B11:M11" si="2">($J$64*B13)*B7</f>
        <v>116891280.17759998</v>
      </c>
      <c r="C11" s="186">
        <f t="shared" si="2"/>
        <v>131794918.40024398</v>
      </c>
      <c r="D11" s="186">
        <f t="shared" si="2"/>
        <v>147370681.48390919</v>
      </c>
      <c r="E11" s="186">
        <f t="shared" si="2"/>
        <v>163139344.40268746</v>
      </c>
      <c r="F11" s="186">
        <f t="shared" si="2"/>
        <v>178365683.21360496</v>
      </c>
      <c r="G11" s="186">
        <f t="shared" si="2"/>
        <v>191966066.55864236</v>
      </c>
      <c r="H11" s="186">
        <f t="shared" si="2"/>
        <v>202387081.6003972</v>
      </c>
      <c r="I11" s="186">
        <f t="shared" si="2"/>
        <v>207446758.64040715</v>
      </c>
      <c r="J11" s="186">
        <f t="shared" si="2"/>
        <v>204127610.50216064</v>
      </c>
      <c r="K11" s="186">
        <f t="shared" si="2"/>
        <v>188307720.68824318</v>
      </c>
      <c r="L11" s="186">
        <f t="shared" si="2"/>
        <v>154412330.96435943</v>
      </c>
      <c r="M11" s="186">
        <f t="shared" si="2"/>
        <v>94963583.543081045</v>
      </c>
      <c r="N11" s="176">
        <f>SUM(B11:M11)</f>
        <v>1981173060.1753364</v>
      </c>
    </row>
    <row r="12" spans="1:14" x14ac:dyDescent="0.2">
      <c r="A12" s="115" t="s">
        <v>126</v>
      </c>
      <c r="B12" s="186">
        <f>($J$65*B13)*B7</f>
        <v>-22514539.920000002</v>
      </c>
      <c r="C12" s="186">
        <f t="shared" ref="C12:M12" si="3">($J$65*C13)*C7</f>
        <v>-25385143.759800006</v>
      </c>
      <c r="D12" s="186">
        <f t="shared" si="3"/>
        <v>-28385206.204140004</v>
      </c>
      <c r="E12" s="186">
        <f t="shared" si="3"/>
        <v>-31422423.267982986</v>
      </c>
      <c r="F12" s="186">
        <f t="shared" si="3"/>
        <v>-34355182.772994727</v>
      </c>
      <c r="G12" s="186">
        <f t="shared" si="3"/>
        <v>-36974765.459435582</v>
      </c>
      <c r="H12" s="186">
        <f t="shared" si="3"/>
        <v>-38981967.01294779</v>
      </c>
      <c r="I12" s="186">
        <f t="shared" si="3"/>
        <v>-39956516.188271493</v>
      </c>
      <c r="J12" s="186">
        <f t="shared" si="3"/>
        <v>-39317211.929259151</v>
      </c>
      <c r="K12" s="186">
        <f t="shared" si="3"/>
        <v>-36270128.004741564</v>
      </c>
      <c r="L12" s="186">
        <f t="shared" si="3"/>
        <v>-29741504.963888086</v>
      </c>
      <c r="M12" s="186">
        <f t="shared" si="3"/>
        <v>-18291025.552791171</v>
      </c>
      <c r="N12" s="176">
        <f>SUM(B12:M12)</f>
        <v>-381595615.03625262</v>
      </c>
    </row>
    <row r="13" spans="1:14" x14ac:dyDescent="0.2">
      <c r="A13" s="115"/>
      <c r="B13" s="145">
        <v>12</v>
      </c>
      <c r="C13" s="145">
        <v>11</v>
      </c>
      <c r="D13" s="145">
        <v>10</v>
      </c>
      <c r="E13" s="145">
        <v>9</v>
      </c>
      <c r="F13" s="145">
        <v>8</v>
      </c>
      <c r="G13" s="145">
        <v>7</v>
      </c>
      <c r="H13" s="145">
        <v>6</v>
      </c>
      <c r="I13" s="145">
        <v>5</v>
      </c>
      <c r="J13" s="145">
        <v>4</v>
      </c>
      <c r="K13" s="145">
        <v>3</v>
      </c>
      <c r="L13" s="145">
        <v>2</v>
      </c>
      <c r="M13" s="145">
        <v>1</v>
      </c>
    </row>
    <row r="14" spans="1:14" x14ac:dyDescent="0.2">
      <c r="A14" s="119" t="s">
        <v>68</v>
      </c>
      <c r="B14" s="119">
        <v>1</v>
      </c>
      <c r="C14" s="119">
        <v>2</v>
      </c>
      <c r="D14" s="119">
        <v>3</v>
      </c>
      <c r="E14" s="119">
        <v>4</v>
      </c>
      <c r="F14" s="119">
        <v>5</v>
      </c>
      <c r="G14" s="119">
        <v>6</v>
      </c>
      <c r="H14" s="119">
        <v>7</v>
      </c>
      <c r="I14" s="119">
        <v>8</v>
      </c>
      <c r="J14" s="119">
        <v>9</v>
      </c>
      <c r="K14" s="119">
        <v>10</v>
      </c>
      <c r="L14" s="119">
        <v>11</v>
      </c>
      <c r="M14" s="119">
        <v>12</v>
      </c>
    </row>
    <row r="15" spans="1:14" x14ac:dyDescent="0.2">
      <c r="A15" s="120" t="s">
        <v>71</v>
      </c>
      <c r="B15" s="171">
        <f>B7*(1+$C$43)</f>
        <v>2405.9644087500001</v>
      </c>
      <c r="C15" s="171">
        <f t="shared" ref="C15:M15" si="4">B15*(1+$C$43)</f>
        <v>3008.7787913623129</v>
      </c>
      <c r="D15" s="171">
        <f t="shared" si="4"/>
        <v>3762.6283175381404</v>
      </c>
      <c r="E15" s="171">
        <f t="shared" si="4"/>
        <v>4705.3548424973214</v>
      </c>
      <c r="F15" s="171">
        <f t="shared" si="4"/>
        <v>5884.2814982850259</v>
      </c>
      <c r="G15" s="171">
        <f t="shared" si="4"/>
        <v>7358.5882276803395</v>
      </c>
      <c r="H15" s="171">
        <f t="shared" si="4"/>
        <v>9202.2825081256487</v>
      </c>
      <c r="I15" s="171">
        <f t="shared" si="4"/>
        <v>11507.914390536531</v>
      </c>
      <c r="J15" s="171">
        <f t="shared" si="4"/>
        <v>14391.222341085459</v>
      </c>
      <c r="K15" s="171">
        <f t="shared" si="4"/>
        <v>17996.94309864442</v>
      </c>
      <c r="L15" s="171">
        <f t="shared" si="4"/>
        <v>22506.07719200978</v>
      </c>
      <c r="M15" s="171">
        <f t="shared" si="4"/>
        <v>28144.974832467829</v>
      </c>
    </row>
    <row r="16" spans="1:14" x14ac:dyDescent="0.2">
      <c r="A16" s="120" t="s">
        <v>72</v>
      </c>
      <c r="B16" s="114"/>
      <c r="C16" s="114">
        <f>C15-B15</f>
        <v>602.81438261231278</v>
      </c>
      <c r="D16" s="114">
        <f t="shared" ref="D16:M16" si="5">D15-C15</f>
        <v>753.84952617582758</v>
      </c>
      <c r="E16" s="114">
        <f t="shared" si="5"/>
        <v>942.72652495918101</v>
      </c>
      <c r="F16" s="114">
        <f t="shared" si="5"/>
        <v>1178.9266557877045</v>
      </c>
      <c r="G16" s="114">
        <f t="shared" si="5"/>
        <v>1474.3067293953136</v>
      </c>
      <c r="H16" s="114">
        <f t="shared" si="5"/>
        <v>1843.6942804453092</v>
      </c>
      <c r="I16" s="114">
        <f t="shared" si="5"/>
        <v>2305.6318824108821</v>
      </c>
      <c r="J16" s="114">
        <f t="shared" si="5"/>
        <v>2883.3079505489277</v>
      </c>
      <c r="K16" s="114">
        <f t="shared" si="5"/>
        <v>3605.7207575589619</v>
      </c>
      <c r="L16" s="114">
        <f t="shared" si="5"/>
        <v>4509.1340933653591</v>
      </c>
      <c r="M16" s="114">
        <f t="shared" si="5"/>
        <v>5638.8976404580499</v>
      </c>
      <c r="N16" s="169">
        <f>SUM(B16:M16,B15)</f>
        <v>28144.974832467829</v>
      </c>
    </row>
    <row r="17" spans="1:14" x14ac:dyDescent="0.2">
      <c r="A17" s="143" t="s">
        <v>87</v>
      </c>
      <c r="B17" s="174">
        <f t="shared" ref="B17:M17" si="6">B7*$A$4</f>
        <v>1808489.5</v>
      </c>
      <c r="C17" s="174">
        <f t="shared" si="6"/>
        <v>2224442.085</v>
      </c>
      <c r="D17" s="174">
        <f t="shared" si="6"/>
        <v>2736063.76455</v>
      </c>
      <c r="E17" s="174">
        <f t="shared" si="6"/>
        <v>3365358.4303965</v>
      </c>
      <c r="F17" s="174">
        <f t="shared" si="6"/>
        <v>4139390.8693876951</v>
      </c>
      <c r="G17" s="174">
        <f t="shared" si="6"/>
        <v>5091450.7693468649</v>
      </c>
      <c r="H17" s="174">
        <f t="shared" si="6"/>
        <v>6262484.4462966435</v>
      </c>
      <c r="I17" s="174">
        <f t="shared" si="6"/>
        <v>7702855.8689448722</v>
      </c>
      <c r="J17" s="174">
        <f t="shared" si="6"/>
        <v>9474512.7188021932</v>
      </c>
      <c r="K17" s="174">
        <f t="shared" si="6"/>
        <v>11653650.644126698</v>
      </c>
      <c r="L17" s="174">
        <f t="shared" si="6"/>
        <v>14333990.292275839</v>
      </c>
      <c r="M17" s="174">
        <f t="shared" si="6"/>
        <v>17630808.059499282</v>
      </c>
      <c r="N17" s="175"/>
    </row>
    <row r="18" spans="1:14" x14ac:dyDescent="0.2">
      <c r="A18" s="143" t="s">
        <v>30</v>
      </c>
      <c r="B18" s="174">
        <f>B15*Simulación!$E$17*B21</f>
        <v>140777789.48478001</v>
      </c>
      <c r="C18" s="174">
        <f>C16*Simulación!$E$17*C21</f>
        <v>32332552.22579401</v>
      </c>
      <c r="D18" s="174">
        <f>D16*Simulación!$E$17*D21</f>
        <v>36757702.896333352</v>
      </c>
      <c r="E18" s="174">
        <f>E16*Simulación!$E$17*E21</f>
        <v>41370610.821308702</v>
      </c>
      <c r="F18" s="174">
        <f>F16*Simulación!$E$17*F21</f>
        <v>45987570.988966778</v>
      </c>
      <c r="G18" s="174">
        <f>G16*Simulación!$E$17*G21</f>
        <v>50321037.287720844</v>
      </c>
      <c r="H18" s="174">
        <f>H16*Simulación!$E$17*H21</f>
        <v>53939119.868707962</v>
      </c>
      <c r="I18" s="174">
        <f>I16*Simulación!$E$17*I21</f>
        <v>56211305.293177299</v>
      </c>
      <c r="J18" s="174">
        <f>J16*Simulación!$E$17*J21</f>
        <v>56236038.267506287</v>
      </c>
      <c r="K18" s="174">
        <f>K16*Simulación!$E$17*K21</f>
        <v>52744483.241572492</v>
      </c>
      <c r="L18" s="174">
        <f>L16*Simulación!$E$17*L21</f>
        <v>43973075.678498983</v>
      </c>
      <c r="M18" s="174">
        <f>M16*Simulación!$E$17*M21</f>
        <v>27495264.894873451</v>
      </c>
      <c r="N18" s="187">
        <f>SUM(B18:M18)</f>
        <v>638146550.94924021</v>
      </c>
    </row>
    <row r="19" spans="1:14" x14ac:dyDescent="0.2">
      <c r="A19" s="115" t="s">
        <v>125</v>
      </c>
      <c r="B19" s="186">
        <f t="shared" ref="B19:M19" si="7">($J$64*B21)*B15</f>
        <v>146178390.42609766</v>
      </c>
      <c r="C19" s="186">
        <f t="shared" si="7"/>
        <v>167569770.63507676</v>
      </c>
      <c r="D19" s="186">
        <f t="shared" si="7"/>
        <v>190503978.78881386</v>
      </c>
      <c r="E19" s="186">
        <f t="shared" si="7"/>
        <v>214411275.60691604</v>
      </c>
      <c r="F19" s="186">
        <f t="shared" si="7"/>
        <v>238339573.96464789</v>
      </c>
      <c r="G19" s="186">
        <f t="shared" si="7"/>
        <v>260798609.94380417</v>
      </c>
      <c r="H19" s="186">
        <f t="shared" si="7"/>
        <v>279550029.99876362</v>
      </c>
      <c r="I19" s="186">
        <f t="shared" si="7"/>
        <v>291326075.0124616</v>
      </c>
      <c r="J19" s="186">
        <f t="shared" si="7"/>
        <v>291454258.48546708</v>
      </c>
      <c r="K19" s="186">
        <f t="shared" si="7"/>
        <v>273358592.21175063</v>
      </c>
      <c r="L19" s="186">
        <f t="shared" si="7"/>
        <v>227899058.32693651</v>
      </c>
      <c r="M19" s="186">
        <f t="shared" si="7"/>
        <v>142499583.69537523</v>
      </c>
      <c r="N19" s="173">
        <f>SUM(B19:M19)</f>
        <v>2723889197.0961113</v>
      </c>
    </row>
    <row r="20" spans="1:14" x14ac:dyDescent="0.2">
      <c r="A20" s="115" t="s">
        <v>126</v>
      </c>
      <c r="B20" s="186">
        <f>($J$65*B21)*B15</f>
        <v>-28155557.896956004</v>
      </c>
      <c r="C20" s="186">
        <f t="shared" ref="C20:M20" si="8">($J$65*C21)*C15</f>
        <v>-32275771.850701809</v>
      </c>
      <c r="D20" s="186">
        <f t="shared" si="8"/>
        <v>-36693151.352631949</v>
      </c>
      <c r="E20" s="186">
        <f t="shared" si="8"/>
        <v>-41297958.381630495</v>
      </c>
      <c r="F20" s="186">
        <f t="shared" si="8"/>
        <v>-45906810.537020467</v>
      </c>
      <c r="G20" s="186">
        <f t="shared" si="8"/>
        <v>-50232666.677437082</v>
      </c>
      <c r="H20" s="186">
        <f t="shared" si="8"/>
        <v>-53844395.4115448</v>
      </c>
      <c r="I20" s="186">
        <f t="shared" si="8"/>
        <v>-56112590.568256132</v>
      </c>
      <c r="J20" s="186">
        <f t="shared" si="8"/>
        <v>-56137280.108106166</v>
      </c>
      <c r="K20" s="186">
        <f t="shared" si="8"/>
        <v>-52651856.729394123</v>
      </c>
      <c r="L20" s="186">
        <f t="shared" si="8"/>
        <v>-43895852.955295883</v>
      </c>
      <c r="M20" s="186">
        <f t="shared" si="8"/>
        <v>-27446979.45662263</v>
      </c>
      <c r="N20" s="173">
        <f>SUM(B20:M20)</f>
        <v>-524650871.92559755</v>
      </c>
    </row>
    <row r="21" spans="1:14" x14ac:dyDescent="0.2">
      <c r="A21" s="115"/>
      <c r="B21" s="145">
        <v>12</v>
      </c>
      <c r="C21" s="145">
        <v>11</v>
      </c>
      <c r="D21" s="145">
        <v>10</v>
      </c>
      <c r="E21" s="145">
        <v>9</v>
      </c>
      <c r="F21" s="145">
        <v>8</v>
      </c>
      <c r="G21" s="145">
        <v>7</v>
      </c>
      <c r="H21" s="145">
        <v>6</v>
      </c>
      <c r="I21" s="145">
        <v>5</v>
      </c>
      <c r="J21" s="145">
        <v>4</v>
      </c>
      <c r="K21" s="145">
        <v>3</v>
      </c>
      <c r="L21" s="145">
        <v>2</v>
      </c>
      <c r="M21" s="145">
        <v>1</v>
      </c>
    </row>
    <row r="22" spans="1:14" x14ac:dyDescent="0.2">
      <c r="A22" s="119" t="s">
        <v>69</v>
      </c>
      <c r="B22" s="119">
        <v>1</v>
      </c>
      <c r="C22" s="119">
        <v>2</v>
      </c>
      <c r="D22" s="119">
        <v>3</v>
      </c>
      <c r="E22" s="119">
        <v>4</v>
      </c>
      <c r="F22" s="119">
        <v>5</v>
      </c>
      <c r="G22" s="119">
        <v>6</v>
      </c>
      <c r="H22" s="119">
        <v>7</v>
      </c>
      <c r="I22" s="119">
        <v>8</v>
      </c>
      <c r="J22" s="119">
        <v>9</v>
      </c>
      <c r="K22" s="119">
        <v>10</v>
      </c>
      <c r="L22" s="119">
        <v>11</v>
      </c>
      <c r="M22" s="119">
        <v>12</v>
      </c>
    </row>
    <row r="23" spans="1:14" x14ac:dyDescent="0.2">
      <c r="A23" s="120" t="s">
        <v>71</v>
      </c>
      <c r="B23" s="171">
        <f>B15*(1+$C$44)</f>
        <v>3048.8380987679998</v>
      </c>
      <c r="C23" s="114">
        <f t="shared" ref="C23" si="9">B23*(1+$C$44)</f>
        <v>3863.4876387588088</v>
      </c>
      <c r="D23" s="114">
        <f t="shared" ref="D23" si="10">C23*(1+$C$44)</f>
        <v>4895.8115358351624</v>
      </c>
      <c r="E23" s="114">
        <f t="shared" ref="E23" si="11">D23*(1+$C$44)</f>
        <v>6203.9723782103174</v>
      </c>
      <c r="F23" s="114">
        <f t="shared" ref="F23" si="12">E23*(1+$C$44)</f>
        <v>7861.6737976681134</v>
      </c>
      <c r="G23" s="114">
        <f t="shared" ref="G23" si="13">F23*(1+$C$44)</f>
        <v>9962.3130364050321</v>
      </c>
      <c r="H23" s="114">
        <f t="shared" ref="H23" si="14">G23*(1+$C$44)</f>
        <v>12624.243079732456</v>
      </c>
      <c r="I23" s="114">
        <f t="shared" ref="I23" si="15">H23*(1+$C$44)</f>
        <v>15997.440830636966</v>
      </c>
      <c r="J23" s="114">
        <f t="shared" ref="J23" si="16">I23*(1+$C$44)</f>
        <v>20271.957020583162</v>
      </c>
      <c r="K23" s="114">
        <f t="shared" ref="K23" si="17">J23*(1+$C$44)</f>
        <v>25688.623936482982</v>
      </c>
      <c r="L23" s="114">
        <f t="shared" ref="L23" si="18">K23*(1+$C$44)</f>
        <v>32552.624252311231</v>
      </c>
      <c r="M23" s="114">
        <f t="shared" ref="M23" si="19">L23*(1+$C$44)</f>
        <v>41250.685452528785</v>
      </c>
    </row>
    <row r="24" spans="1:14" x14ac:dyDescent="0.2">
      <c r="A24" s="120" t="s">
        <v>72</v>
      </c>
      <c r="B24" s="114"/>
      <c r="C24" s="114">
        <f>C23-B23</f>
        <v>814.64953999080899</v>
      </c>
      <c r="D24" s="114">
        <f t="shared" ref="D24:M24" si="20">D23-C23</f>
        <v>1032.3238970763537</v>
      </c>
      <c r="E24" s="114">
        <f t="shared" si="20"/>
        <v>1308.160842375155</v>
      </c>
      <c r="F24" s="114">
        <f t="shared" si="20"/>
        <v>1657.701419457796</v>
      </c>
      <c r="G24" s="114">
        <f t="shared" si="20"/>
        <v>2100.6392387369187</v>
      </c>
      <c r="H24" s="114">
        <f t="shared" si="20"/>
        <v>2661.9300433274238</v>
      </c>
      <c r="I24" s="114">
        <f t="shared" si="20"/>
        <v>3373.19775090451</v>
      </c>
      <c r="J24" s="114">
        <f t="shared" si="20"/>
        <v>4274.5161899461964</v>
      </c>
      <c r="K24" s="114">
        <f t="shared" si="20"/>
        <v>5416.6669158998193</v>
      </c>
      <c r="L24" s="114">
        <f t="shared" si="20"/>
        <v>6864.0003158282489</v>
      </c>
      <c r="M24" s="114">
        <f t="shared" si="20"/>
        <v>8698.0612002175549</v>
      </c>
      <c r="N24" s="169">
        <f>SUM(B24:M24,B23)</f>
        <v>41250.685452528785</v>
      </c>
    </row>
    <row r="25" spans="1:14" x14ac:dyDescent="0.2">
      <c r="A25" s="143" t="s">
        <v>87</v>
      </c>
      <c r="B25" s="172">
        <f t="shared" ref="B25:M25" si="21">$A$4*B15</f>
        <v>2261606.5442249998</v>
      </c>
      <c r="C25" s="172">
        <f t="shared" si="21"/>
        <v>2828252.063880574</v>
      </c>
      <c r="D25" s="172">
        <f t="shared" si="21"/>
        <v>3536870.6184858521</v>
      </c>
      <c r="E25" s="172">
        <f t="shared" si="21"/>
        <v>4423033.5519474819</v>
      </c>
      <c r="F25" s="172">
        <f t="shared" si="21"/>
        <v>5531224.6083879247</v>
      </c>
      <c r="G25" s="172">
        <f t="shared" si="21"/>
        <v>6917072.934019519</v>
      </c>
      <c r="H25" s="172">
        <f t="shared" si="21"/>
        <v>8650145.5576381106</v>
      </c>
      <c r="I25" s="172">
        <f t="shared" si="21"/>
        <v>10817439.527104339</v>
      </c>
      <c r="J25" s="172">
        <f t="shared" si="21"/>
        <v>13527749.000620332</v>
      </c>
      <c r="K25" s="172">
        <f t="shared" si="21"/>
        <v>16917126.512725756</v>
      </c>
      <c r="L25" s="172">
        <f t="shared" si="21"/>
        <v>21155712.560489193</v>
      </c>
      <c r="M25" s="172">
        <f t="shared" si="21"/>
        <v>26456276.34251976</v>
      </c>
      <c r="N25" s="137"/>
    </row>
    <row r="26" spans="1:14" x14ac:dyDescent="0.2">
      <c r="A26" s="143" t="s">
        <v>30</v>
      </c>
      <c r="B26" s="172">
        <f>B23*Simulación!$E$17*B29</f>
        <v>178393614.8351132</v>
      </c>
      <c r="C26" s="172">
        <f>C24*Simulación!$E$17*C29</f>
        <v>43694542.726947032</v>
      </c>
      <c r="D26" s="172">
        <f>D24*Simulación!$E$17*D29</f>
        <v>50336113.221443005</v>
      </c>
      <c r="E26" s="172">
        <f>E24*Simulación!$E$17*E29</f>
        <v>57407330.4067913</v>
      </c>
      <c r="F26" s="172">
        <f>F24*Simulación!$E$17*F29</f>
        <v>64663616.970209703</v>
      </c>
      <c r="G26" s="172">
        <f>G24*Simulación!$E$17*G29</f>
        <v>71699018.496568516</v>
      </c>
      <c r="H26" s="172">
        <f>H24*Simulación!$E$17*H29</f>
        <v>77877425.347587109</v>
      </c>
      <c r="I26" s="172">
        <f>I24*Simulación!$E$17*I29</f>
        <v>82238561.167051956</v>
      </c>
      <c r="J26" s="172">
        <f>J24*Simulación!$E$17*J29</f>
        <v>83370163.768710613</v>
      </c>
      <c r="K26" s="172">
        <f>K24*Simulación!$E$17*K29</f>
        <v>79235003.64578256</v>
      </c>
      <c r="L26" s="172">
        <f>L24*Simulación!$E$17*L29</f>
        <v>66937731.079957083</v>
      </c>
      <c r="M26" s="172">
        <f>M24*Simulación!$E$17*M29</f>
        <v>42411746.412260801</v>
      </c>
      <c r="N26" s="187">
        <f>SUM(B26:M26)</f>
        <v>898264868.0784229</v>
      </c>
    </row>
    <row r="27" spans="1:14" x14ac:dyDescent="0.2">
      <c r="A27" s="115" t="s">
        <v>125</v>
      </c>
      <c r="B27" s="172">
        <f>($J$64*B29)*B23</f>
        <v>185237256.34795094</v>
      </c>
      <c r="C27" s="172">
        <f t="shared" ref="C27:M27" si="22">($J$64*C29)*C23</f>
        <v>215171596.9737798</v>
      </c>
      <c r="D27" s="172">
        <f t="shared" si="22"/>
        <v>247877679.71379432</v>
      </c>
      <c r="E27" s="172">
        <f t="shared" si="22"/>
        <v>282699536.15998811</v>
      </c>
      <c r="F27" s="172">
        <f t="shared" si="22"/>
        <v>318432757.53061062</v>
      </c>
      <c r="G27" s="172">
        <f t="shared" si="22"/>
        <v>353078241.549941</v>
      </c>
      <c r="H27" s="172">
        <f t="shared" si="22"/>
        <v>383503498.02178729</v>
      </c>
      <c r="I27" s="172">
        <f t="shared" si="22"/>
        <v>404979693.91100734</v>
      </c>
      <c r="J27" s="172">
        <f t="shared" si="22"/>
        <v>410552214.49922276</v>
      </c>
      <c r="K27" s="172">
        <f t="shared" si="22"/>
        <v>390188824.6600613</v>
      </c>
      <c r="L27" s="172">
        <f t="shared" si="22"/>
        <v>329631519.07281977</v>
      </c>
      <c r="M27" s="172">
        <f t="shared" si="22"/>
        <v>208854530.48453856</v>
      </c>
      <c r="N27" s="173">
        <f>SUM(B27:M27)</f>
        <v>3730207348.9255018</v>
      </c>
    </row>
    <row r="28" spans="1:14" x14ac:dyDescent="0.2">
      <c r="A28" s="115" t="s">
        <v>126</v>
      </c>
      <c r="B28" s="186">
        <f>($J$65*B29)*B23</f>
        <v>-35678722.967022642</v>
      </c>
      <c r="C28" s="186">
        <f t="shared" ref="C28:M28" si="23">($J$65*C29)*C23</f>
        <v>-41444404.598493502</v>
      </c>
      <c r="D28" s="186">
        <f t="shared" si="23"/>
        <v>-47743954.097464509</v>
      </c>
      <c r="E28" s="186">
        <f t="shared" si="23"/>
        <v>-54451024.769076318</v>
      </c>
      <c r="F28" s="186">
        <f t="shared" si="23"/>
        <v>-61333634.29988756</v>
      </c>
      <c r="G28" s="186">
        <f t="shared" si="23"/>
        <v>-68006733.711715326</v>
      </c>
      <c r="H28" s="186">
        <f t="shared" si="23"/>
        <v>-73866971.108130559</v>
      </c>
      <c r="I28" s="186">
        <f t="shared" si="23"/>
        <v>-78003521.490185857</v>
      </c>
      <c r="J28" s="186">
        <f t="shared" si="23"/>
        <v>-79076849.945890814</v>
      </c>
      <c r="K28" s="186">
        <f t="shared" si="23"/>
        <v>-75154638.188574627</v>
      </c>
      <c r="L28" s="186">
        <f t="shared" si="23"/>
        <v>-63490638.341707833</v>
      </c>
      <c r="M28" s="186">
        <f t="shared" si="23"/>
        <v>-40227668.453306079</v>
      </c>
      <c r="N28" s="173">
        <f>SUM(B28:M28)</f>
        <v>-718478761.97145569</v>
      </c>
    </row>
    <row r="29" spans="1:14" x14ac:dyDescent="0.2">
      <c r="A29" s="143"/>
      <c r="B29" s="145">
        <v>12</v>
      </c>
      <c r="C29" s="145">
        <v>11</v>
      </c>
      <c r="D29" s="145">
        <v>10</v>
      </c>
      <c r="E29" s="145">
        <v>9</v>
      </c>
      <c r="F29" s="145">
        <v>8</v>
      </c>
      <c r="G29" s="145">
        <v>7</v>
      </c>
      <c r="H29" s="145">
        <v>6</v>
      </c>
      <c r="I29" s="145">
        <v>5</v>
      </c>
      <c r="J29" s="145">
        <v>4</v>
      </c>
      <c r="K29" s="145">
        <v>3</v>
      </c>
      <c r="L29" s="145">
        <v>2</v>
      </c>
      <c r="M29" s="145">
        <v>1</v>
      </c>
    </row>
    <row r="30" spans="1:14" x14ac:dyDescent="0.2">
      <c r="A30" s="142" t="s">
        <v>77</v>
      </c>
    </row>
    <row r="31" spans="1:14" x14ac:dyDescent="0.2">
      <c r="A31" s="112" t="s">
        <v>78</v>
      </c>
    </row>
    <row r="32" spans="1:14" x14ac:dyDescent="0.2">
      <c r="A32" s="112" t="s">
        <v>79</v>
      </c>
      <c r="M32" s="146"/>
    </row>
    <row r="33" spans="1:13" x14ac:dyDescent="0.2">
      <c r="A33" s="112" t="s">
        <v>108</v>
      </c>
      <c r="M33" s="147">
        <f>Simulación!C17/12</f>
        <v>1564.1666666666667</v>
      </c>
    </row>
    <row r="34" spans="1:13" ht="13.5" thickBot="1" x14ac:dyDescent="0.25">
      <c r="M34" s="147"/>
    </row>
    <row r="35" spans="1:13" x14ac:dyDescent="0.2">
      <c r="A35" s="221" t="s">
        <v>80</v>
      </c>
      <c r="B35" s="222">
        <f>IRR(C39:E39)</f>
        <v>1.4064873407952185</v>
      </c>
      <c r="M35" s="146">
        <f>M33*(1+0.23008)^12</f>
        <v>18770.822993350284</v>
      </c>
    </row>
    <row r="36" spans="1:13" ht="13.5" thickBot="1" x14ac:dyDescent="0.25">
      <c r="A36" s="153" t="s">
        <v>81</v>
      </c>
      <c r="B36" s="154">
        <f>NPV(F39,C39:E39)</f>
        <v>1127595189.7027926</v>
      </c>
      <c r="I36" s="148"/>
      <c r="J36" s="182"/>
      <c r="M36" s="146" t="s">
        <v>70</v>
      </c>
    </row>
    <row r="37" spans="1:13" x14ac:dyDescent="0.2">
      <c r="H37" s="148"/>
      <c r="I37" s="148"/>
      <c r="J37" s="183"/>
      <c r="M37" s="146"/>
    </row>
    <row r="38" spans="1:13" x14ac:dyDescent="0.2">
      <c r="F38" s="184" t="s">
        <v>117</v>
      </c>
      <c r="H38" s="148"/>
      <c r="I38" s="148"/>
      <c r="J38" s="148"/>
      <c r="M38" s="146"/>
    </row>
    <row r="39" spans="1:13" x14ac:dyDescent="0.2">
      <c r="B39" s="178"/>
      <c r="C39" s="177">
        <f>D58</f>
        <v>-927786473.0958221</v>
      </c>
      <c r="D39" s="177">
        <f>D55</f>
        <v>1406707653.4370267</v>
      </c>
      <c r="E39" s="177">
        <f>E55</f>
        <v>1987755533.0512452</v>
      </c>
      <c r="F39" s="185">
        <v>0.26500000000000001</v>
      </c>
      <c r="G39" s="148"/>
      <c r="H39" s="148"/>
      <c r="I39" s="181"/>
      <c r="J39" s="148"/>
      <c r="M39" s="146"/>
    </row>
    <row r="40" spans="1:13" x14ac:dyDescent="0.2">
      <c r="G40" s="148"/>
      <c r="H40" s="148"/>
      <c r="I40" s="181"/>
      <c r="J40" s="148"/>
      <c r="M40" s="146"/>
    </row>
    <row r="41" spans="1:13" ht="15.75" x14ac:dyDescent="0.25">
      <c r="B41" s="214" t="s">
        <v>75</v>
      </c>
      <c r="C41" s="214" t="s">
        <v>74</v>
      </c>
      <c r="D41" s="214" t="s">
        <v>73</v>
      </c>
      <c r="E41" s="214" t="s">
        <v>76</v>
      </c>
      <c r="F41" s="214" t="s">
        <v>128</v>
      </c>
      <c r="G41" s="149"/>
      <c r="H41" s="149"/>
      <c r="I41" s="152"/>
      <c r="J41" s="148"/>
    </row>
    <row r="42" spans="1:13" ht="18.75" x14ac:dyDescent="0.3">
      <c r="B42" s="215">
        <v>2019</v>
      </c>
      <c r="C42" s="216">
        <v>0.23</v>
      </c>
      <c r="D42" s="215"/>
      <c r="E42" s="217">
        <f>M7</f>
        <v>18756.178786701363</v>
      </c>
      <c r="F42" s="218">
        <f>E42/230000</f>
        <v>8.1548603420440707E-2</v>
      </c>
      <c r="G42" s="149"/>
      <c r="H42" s="150"/>
      <c r="I42" s="149"/>
      <c r="J42" s="151"/>
    </row>
    <row r="43" spans="1:13" ht="18.75" x14ac:dyDescent="0.3">
      <c r="B43" s="215" t="s">
        <v>68</v>
      </c>
      <c r="C43" s="216">
        <v>0.25054999999999999</v>
      </c>
      <c r="D43" s="219">
        <f>(E43/E42)-1</f>
        <v>0.50057083335244057</v>
      </c>
      <c r="E43" s="217">
        <f>N16</f>
        <v>28144.974832467829</v>
      </c>
      <c r="F43" s="220">
        <f>E43/250000</f>
        <v>0.11257989932987132</v>
      </c>
      <c r="G43" s="149"/>
      <c r="H43" s="150"/>
      <c r="I43" s="152"/>
      <c r="J43" s="151"/>
    </row>
    <row r="44" spans="1:13" ht="18.75" x14ac:dyDescent="0.3">
      <c r="B44" s="215" t="s">
        <v>69</v>
      </c>
      <c r="C44" s="216">
        <v>0.26719999999999999</v>
      </c>
      <c r="D44" s="219">
        <f>(E44/E43)-1</f>
        <v>0.46565010976461441</v>
      </c>
      <c r="E44" s="217">
        <f>N24</f>
        <v>41250.685452528785</v>
      </c>
      <c r="F44" s="220">
        <f>E44/271739</f>
        <v>0.15180259533055168</v>
      </c>
      <c r="G44" s="152"/>
      <c r="H44" s="180"/>
      <c r="I44" s="152"/>
      <c r="J44" s="151"/>
    </row>
    <row r="45" spans="1:13" ht="15.75" x14ac:dyDescent="0.25">
      <c r="B45" s="190"/>
      <c r="C45" s="190"/>
      <c r="D45" s="190"/>
      <c r="E45" s="191">
        <f>SUM(E42:E44)</f>
        <v>88151.839071697977</v>
      </c>
      <c r="F45" s="190"/>
      <c r="G45" s="148"/>
      <c r="H45" s="148"/>
      <c r="I45" s="148"/>
      <c r="J45" s="148"/>
    </row>
    <row r="46" spans="1:13" ht="15.75" x14ac:dyDescent="0.25">
      <c r="B46" s="190"/>
      <c r="C46" s="190"/>
      <c r="D46" s="190"/>
      <c r="E46" s="190"/>
      <c r="F46" s="190"/>
      <c r="G46" s="148"/>
      <c r="H46" s="148"/>
      <c r="I46" s="148"/>
      <c r="J46" s="148"/>
    </row>
    <row r="47" spans="1:13" ht="15.75" x14ac:dyDescent="0.25">
      <c r="B47" s="190"/>
      <c r="C47" s="214">
        <v>2019</v>
      </c>
      <c r="D47" s="214" t="s">
        <v>68</v>
      </c>
      <c r="E47" s="214" t="s">
        <v>69</v>
      </c>
      <c r="F47" s="190"/>
      <c r="G47" s="148"/>
      <c r="H47" s="143"/>
      <c r="I47" s="143"/>
      <c r="J47" s="143"/>
    </row>
    <row r="48" spans="1:13" ht="15.75" x14ac:dyDescent="0.25">
      <c r="B48" s="192" t="s">
        <v>127</v>
      </c>
      <c r="C48" s="193">
        <f>N10</f>
        <v>448298908.04202473</v>
      </c>
      <c r="D48" s="193">
        <f>N18</f>
        <v>638146550.94924021</v>
      </c>
      <c r="E48" s="193">
        <f>N26</f>
        <v>898264868.0784229</v>
      </c>
      <c r="F48" s="194"/>
      <c r="G48" s="246"/>
      <c r="H48" s="238"/>
      <c r="I48" s="238"/>
      <c r="J48" s="238"/>
      <c r="K48" s="146"/>
    </row>
    <row r="49" spans="2:12" ht="15.75" x14ac:dyDescent="0.25">
      <c r="B49" s="190" t="s">
        <v>32</v>
      </c>
      <c r="C49" s="195">
        <f>N11</f>
        <v>1981173060.1753364</v>
      </c>
      <c r="D49" s="195">
        <f>N19</f>
        <v>2723889197.0961113</v>
      </c>
      <c r="E49" s="195">
        <f>N27</f>
        <v>3730207348.9255018</v>
      </c>
      <c r="F49" s="241"/>
      <c r="G49" s="223"/>
      <c r="H49" s="224" t="s">
        <v>129</v>
      </c>
      <c r="I49" s="224"/>
      <c r="J49" s="224"/>
      <c r="K49" s="146"/>
      <c r="L49" s="242"/>
    </row>
    <row r="50" spans="2:12" ht="15.75" x14ac:dyDescent="0.25">
      <c r="B50" s="190" t="s">
        <v>34</v>
      </c>
      <c r="C50" s="196">
        <f>-C57*5.47%</f>
        <v>-108370166.39159089</v>
      </c>
      <c r="D50" s="196">
        <f>-D57*5%</f>
        <v>-136194459.85480556</v>
      </c>
      <c r="E50" s="196">
        <f>-E57*4.5%</f>
        <v>-167859330.70164758</v>
      </c>
      <c r="F50" s="243"/>
      <c r="G50" s="223"/>
      <c r="H50" s="225"/>
      <c r="I50" s="225"/>
      <c r="J50" s="225"/>
      <c r="K50" s="146"/>
      <c r="L50" s="118"/>
    </row>
    <row r="51" spans="2:12" ht="15.75" x14ac:dyDescent="0.25">
      <c r="B51" s="190" t="s">
        <v>37</v>
      </c>
      <c r="C51" s="196">
        <f>-C57*10.81%</f>
        <v>-214164807.80495387</v>
      </c>
      <c r="D51" s="196">
        <f>-D57*9.8%</f>
        <v>-266941141.31541893</v>
      </c>
      <c r="E51" s="196">
        <f>-E57*8.2%</f>
        <v>-305877002.61189109</v>
      </c>
      <c r="F51" s="243"/>
      <c r="G51" s="223"/>
      <c r="H51" s="238">
        <f>D52*80%</f>
        <v>-419720697.54047805</v>
      </c>
      <c r="I51" s="226" t="s">
        <v>109</v>
      </c>
      <c r="J51" s="225"/>
      <c r="K51" s="146"/>
      <c r="L51" s="118"/>
    </row>
    <row r="52" spans="2:12" ht="15.75" x14ac:dyDescent="0.25">
      <c r="B52" s="198" t="s">
        <v>39</v>
      </c>
      <c r="C52" s="196">
        <f>N12</f>
        <v>-381595615.03625262</v>
      </c>
      <c r="D52" s="196">
        <f>N20</f>
        <v>-524650871.92559755</v>
      </c>
      <c r="E52" s="196">
        <f>N28</f>
        <v>-718478761.97145569</v>
      </c>
      <c r="F52" s="244"/>
      <c r="G52" s="146"/>
      <c r="H52" s="225">
        <f>E42+E43</f>
        <v>46901.153619169192</v>
      </c>
      <c r="I52" s="225" t="s">
        <v>112</v>
      </c>
      <c r="J52" s="225"/>
      <c r="K52" s="146"/>
      <c r="L52" s="118"/>
    </row>
    <row r="53" spans="2:12" ht="15.75" x14ac:dyDescent="0.25">
      <c r="B53" s="141" t="s">
        <v>40</v>
      </c>
      <c r="C53" s="199">
        <f>SUM(C49:C52)</f>
        <v>1277042470.9425392</v>
      </c>
      <c r="D53" s="199">
        <f>SUM(D49:D52)</f>
        <v>1796102724.0002894</v>
      </c>
      <c r="E53" s="199">
        <f>SUM(E49:E52)</f>
        <v>2537992253.6405072</v>
      </c>
      <c r="F53" s="244"/>
      <c r="G53" s="246"/>
      <c r="H53" s="227">
        <v>250</v>
      </c>
      <c r="I53" s="228" t="s">
        <v>110</v>
      </c>
      <c r="J53" s="228"/>
      <c r="K53" s="146"/>
      <c r="L53" s="118"/>
    </row>
    <row r="54" spans="2:12" ht="15.75" x14ac:dyDescent="0.25">
      <c r="B54" s="192" t="s">
        <v>86</v>
      </c>
      <c r="C54" s="200">
        <f>C53*21.68%</f>
        <v>276862807.70034248</v>
      </c>
      <c r="D54" s="200">
        <f t="shared" ref="D54:E54" si="24">D53*21.68%</f>
        <v>389395070.56326276</v>
      </c>
      <c r="E54" s="200">
        <f t="shared" si="24"/>
        <v>550236720.58926189</v>
      </c>
      <c r="F54" s="244"/>
      <c r="G54" s="246"/>
      <c r="H54" s="229">
        <f>H52/H53</f>
        <v>187.60461447667677</v>
      </c>
      <c r="I54" s="230" t="s">
        <v>111</v>
      </c>
      <c r="J54" s="230"/>
      <c r="K54" s="146"/>
      <c r="L54" s="118"/>
    </row>
    <row r="55" spans="2:12" ht="15.75" x14ac:dyDescent="0.25">
      <c r="B55" s="141" t="s">
        <v>85</v>
      </c>
      <c r="C55" s="199">
        <f>C53-C54</f>
        <v>1000179663.2421968</v>
      </c>
      <c r="D55" s="199">
        <f t="shared" ref="D55:E55" si="25">D53-D54</f>
        <v>1406707653.4370267</v>
      </c>
      <c r="E55" s="199">
        <f t="shared" si="25"/>
        <v>1987755533.0512452</v>
      </c>
      <c r="F55" s="244"/>
      <c r="G55" s="246"/>
      <c r="H55" s="228">
        <v>60000</v>
      </c>
      <c r="I55" s="228" t="s">
        <v>114</v>
      </c>
      <c r="J55" s="228"/>
      <c r="K55" s="146"/>
      <c r="L55" s="118"/>
    </row>
    <row r="56" spans="2:12" ht="15.75" x14ac:dyDescent="0.25">
      <c r="B56" s="201" t="s">
        <v>107</v>
      </c>
      <c r="C56" s="202"/>
      <c r="D56" s="197">
        <f>(D55/C55)-1</f>
        <v>0.40645496517797919</v>
      </c>
      <c r="E56" s="197">
        <f>(E55/D55)-1</f>
        <v>0.41305517759467425</v>
      </c>
      <c r="F56" s="244"/>
      <c r="G56" s="223"/>
      <c r="H56" s="225">
        <f>H55*1.8</f>
        <v>108000</v>
      </c>
      <c r="I56" s="223" t="s">
        <v>113</v>
      </c>
      <c r="J56" s="225"/>
      <c r="K56" s="146"/>
      <c r="L56" s="118"/>
    </row>
    <row r="57" spans="2:12" ht="15.75" x14ac:dyDescent="0.25">
      <c r="B57" s="189" t="s">
        <v>41</v>
      </c>
      <c r="C57" s="203">
        <f>C49</f>
        <v>1981173060.1753364</v>
      </c>
      <c r="D57" s="203">
        <f>D49</f>
        <v>2723889197.0961113</v>
      </c>
      <c r="E57" s="203">
        <f>E49</f>
        <v>3730207348.9255018</v>
      </c>
      <c r="F57" s="244"/>
      <c r="G57" s="223"/>
      <c r="H57" s="235">
        <f>(H56*14)*H54</f>
        <v>283658177.08873528</v>
      </c>
      <c r="I57" s="225" t="s">
        <v>115</v>
      </c>
      <c r="J57" s="225"/>
      <c r="K57" s="146"/>
      <c r="L57" s="118"/>
    </row>
    <row r="58" spans="2:12" ht="15.75" x14ac:dyDescent="0.25">
      <c r="B58" s="189" t="s">
        <v>42</v>
      </c>
      <c r="C58" s="204">
        <f>C50+C51+C52</f>
        <v>-704130589.23279738</v>
      </c>
      <c r="D58" s="204">
        <f>D50+D51+D52</f>
        <v>-927786473.0958221</v>
      </c>
      <c r="E58" s="204">
        <f>E50+E51+E52</f>
        <v>-1192215095.2849944</v>
      </c>
      <c r="F58" s="244"/>
      <c r="G58" s="223"/>
      <c r="H58" s="226">
        <f>-H57/D52</f>
        <v>0.54066083231242923</v>
      </c>
      <c r="I58" s="225" t="s">
        <v>116</v>
      </c>
      <c r="J58" s="225"/>
      <c r="K58" s="146"/>
      <c r="L58" s="118"/>
    </row>
    <row r="59" spans="2:12" ht="16.5" thickBot="1" x14ac:dyDescent="0.3">
      <c r="B59" s="205" t="s">
        <v>31</v>
      </c>
      <c r="C59" s="206">
        <f>C52*10%</f>
        <v>-38159561.503625266</v>
      </c>
      <c r="D59" s="206">
        <f>D52*10%</f>
        <v>-52465087.192559756</v>
      </c>
      <c r="E59" s="206">
        <f>E52*10%</f>
        <v>-71847876.197145566</v>
      </c>
      <c r="F59" s="118"/>
      <c r="G59" s="223"/>
      <c r="H59" s="225">
        <f>H57-D59</f>
        <v>336123264.28129506</v>
      </c>
      <c r="I59" s="225"/>
      <c r="J59" s="225"/>
      <c r="K59" s="146"/>
      <c r="L59" s="118"/>
    </row>
    <row r="60" spans="2:12" ht="15.75" x14ac:dyDescent="0.25">
      <c r="B60" s="207" t="s">
        <v>35</v>
      </c>
      <c r="C60" s="208">
        <f>(C57+C58)/-C58</f>
        <v>1.8136443586891626</v>
      </c>
      <c r="D60" s="208">
        <f t="shared" ref="D60:E60" si="26">(D57+D58)/-D58</f>
        <v>1.935900960063671</v>
      </c>
      <c r="E60" s="208">
        <f t="shared" si="26"/>
        <v>2.1288039915597703</v>
      </c>
      <c r="F60" s="244"/>
      <c r="G60" s="223"/>
      <c r="H60" s="236">
        <f>D59/D52</f>
        <v>0.1</v>
      </c>
      <c r="I60" s="231"/>
      <c r="J60" s="231"/>
      <c r="K60" s="146"/>
      <c r="L60" s="118"/>
    </row>
    <row r="61" spans="2:12" ht="15.75" x14ac:dyDescent="0.25">
      <c r="B61" s="209" t="s">
        <v>36</v>
      </c>
      <c r="C61" s="210">
        <f>(C57*C60)+C59</f>
        <v>3554983782.6703181</v>
      </c>
      <c r="D61" s="210">
        <f t="shared" ref="D61:E61" si="27">(D57*D60)+D59</f>
        <v>5220714624.5728636</v>
      </c>
      <c r="E61" s="210">
        <f t="shared" si="27"/>
        <v>7869032417.5410519</v>
      </c>
      <c r="F61" s="244"/>
      <c r="G61" s="246"/>
      <c r="H61" s="232"/>
      <c r="I61" s="232"/>
      <c r="J61" s="232"/>
      <c r="K61" s="146"/>
      <c r="L61" s="118"/>
    </row>
    <row r="62" spans="2:12" ht="15.75" x14ac:dyDescent="0.25">
      <c r="B62" s="211" t="s">
        <v>44</v>
      </c>
      <c r="C62" s="211">
        <f>C61/(C57*100%)</f>
        <v>1.7943832642039346</v>
      </c>
      <c r="D62" s="211">
        <f t="shared" ref="D62:E62" si="28">D61/(D57*100%)</f>
        <v>1.9166398655784429</v>
      </c>
      <c r="E62" s="211">
        <f t="shared" si="28"/>
        <v>2.1095428970745425</v>
      </c>
      <c r="F62" s="244"/>
      <c r="G62" s="233"/>
      <c r="H62" s="233"/>
      <c r="I62" s="233"/>
      <c r="J62" s="233"/>
      <c r="K62" s="146"/>
      <c r="L62" s="118"/>
    </row>
    <row r="63" spans="2:12" ht="16.5" thickBot="1" x14ac:dyDescent="0.3">
      <c r="B63" s="212" t="s">
        <v>45</v>
      </c>
      <c r="C63" s="213">
        <f>C61/(-C59*100%)</f>
        <v>93.161022888918282</v>
      </c>
      <c r="D63" s="213">
        <f t="shared" ref="D63:E63" si="29">D61/(-D59*100%)</f>
        <v>99.50835696530072</v>
      </c>
      <c r="E63" s="213">
        <f t="shared" si="29"/>
        <v>109.52352155753324</v>
      </c>
      <c r="F63" s="244"/>
      <c r="G63" s="246"/>
      <c r="H63" s="237" t="s">
        <v>118</v>
      </c>
      <c r="I63" s="237">
        <f>I64+I66</f>
        <v>70214.399999999994</v>
      </c>
      <c r="J63" s="234">
        <f>I63/12</f>
        <v>5851.2</v>
      </c>
      <c r="K63" s="146"/>
      <c r="L63" s="118"/>
    </row>
    <row r="64" spans="2:12" ht="15" x14ac:dyDescent="0.25">
      <c r="D64" s="135"/>
      <c r="F64" s="118"/>
      <c r="G64" s="223"/>
      <c r="H64" s="237" t="s">
        <v>119</v>
      </c>
      <c r="I64" s="237">
        <v>60756.671999999991</v>
      </c>
      <c r="J64" s="234">
        <f t="shared" ref="J64:J67" si="30">I64/12</f>
        <v>5063.0559999999996</v>
      </c>
      <c r="K64" s="146"/>
      <c r="L64" s="118"/>
    </row>
    <row r="65" spans="2:12" ht="15" x14ac:dyDescent="0.25">
      <c r="D65" s="140"/>
      <c r="E65" s="140"/>
      <c r="F65" s="118"/>
      <c r="G65" s="223"/>
      <c r="H65" s="237" t="s">
        <v>120</v>
      </c>
      <c r="I65" s="237">
        <f>-I67*20%</f>
        <v>-11702.400000000001</v>
      </c>
      <c r="J65" s="234">
        <f t="shared" si="30"/>
        <v>-975.20000000000016</v>
      </c>
      <c r="K65" s="146"/>
      <c r="L65" s="118"/>
    </row>
    <row r="66" spans="2:12" ht="15" x14ac:dyDescent="0.25">
      <c r="B66" s="134"/>
      <c r="D66" s="135"/>
      <c r="F66" s="118"/>
      <c r="G66" s="146"/>
      <c r="H66" s="237" t="s">
        <v>121</v>
      </c>
      <c r="I66" s="237">
        <v>9457.7279999999992</v>
      </c>
      <c r="J66" s="234">
        <f t="shared" si="30"/>
        <v>788.14399999999989</v>
      </c>
      <c r="K66" s="146"/>
      <c r="L66" s="118"/>
    </row>
    <row r="67" spans="2:12" ht="15" x14ac:dyDescent="0.25">
      <c r="F67" s="118"/>
      <c r="G67" s="146"/>
      <c r="H67" s="237" t="s">
        <v>122</v>
      </c>
      <c r="I67" s="237">
        <f>4876*12</f>
        <v>58512</v>
      </c>
      <c r="J67" s="234">
        <f t="shared" si="30"/>
        <v>4876</v>
      </c>
      <c r="K67" s="146"/>
      <c r="L67" s="118"/>
    </row>
    <row r="68" spans="2:12" ht="15" x14ac:dyDescent="0.25">
      <c r="F68" s="118"/>
      <c r="G68" s="146"/>
      <c r="H68" s="239" t="s">
        <v>123</v>
      </c>
      <c r="I68" s="223"/>
      <c r="J68" s="237">
        <f>I67/12</f>
        <v>4876</v>
      </c>
      <c r="K68" s="146"/>
      <c r="L68" s="118"/>
    </row>
    <row r="69" spans="2:12" ht="15" x14ac:dyDescent="0.25">
      <c r="F69" s="118"/>
      <c r="G69" s="146"/>
      <c r="H69" s="237" t="s">
        <v>124</v>
      </c>
      <c r="I69" s="240">
        <f>(I66+I64)/-I65</f>
        <v>5.9999999999999991</v>
      </c>
      <c r="J69" s="223"/>
      <c r="K69" s="146"/>
      <c r="L69" s="118"/>
    </row>
    <row r="70" spans="2:12" x14ac:dyDescent="0.2">
      <c r="E70" s="135"/>
      <c r="F70" s="118"/>
      <c r="G70" s="146"/>
      <c r="H70" s="223"/>
      <c r="I70" s="223"/>
      <c r="J70" s="223"/>
      <c r="K70" s="146"/>
      <c r="L70" s="118"/>
    </row>
    <row r="71" spans="2:12" x14ac:dyDescent="0.2">
      <c r="B71" s="134"/>
      <c r="E71" s="136"/>
      <c r="F71" s="118"/>
      <c r="G71" s="146"/>
      <c r="H71" s="146"/>
      <c r="I71" s="146"/>
      <c r="J71" s="146"/>
      <c r="K71" s="146"/>
      <c r="L71" s="118"/>
    </row>
    <row r="72" spans="2:12" x14ac:dyDescent="0.2">
      <c r="F72" s="118"/>
      <c r="G72" s="146"/>
      <c r="H72" s="146"/>
      <c r="I72" s="146"/>
      <c r="J72" s="146"/>
      <c r="K72" s="146"/>
      <c r="L72" s="118"/>
    </row>
    <row r="73" spans="2:12" x14ac:dyDescent="0.2">
      <c r="F73" s="118"/>
      <c r="G73" s="118"/>
      <c r="H73" s="118"/>
      <c r="I73" s="118"/>
      <c r="J73" s="118"/>
      <c r="K73" s="118"/>
      <c r="L73" s="118"/>
    </row>
    <row r="74" spans="2:12" x14ac:dyDescent="0.2">
      <c r="F74" s="118"/>
      <c r="G74" s="118"/>
      <c r="H74" s="118"/>
      <c r="I74" s="118"/>
      <c r="J74" s="118"/>
      <c r="K74" s="118"/>
      <c r="L74" s="118"/>
    </row>
    <row r="75" spans="2:12" x14ac:dyDescent="0.2">
      <c r="F75" s="118"/>
      <c r="G75" s="118"/>
      <c r="H75" s="118"/>
      <c r="I75" s="118"/>
      <c r="J75" s="118"/>
      <c r="K75" s="118"/>
      <c r="L75" s="118"/>
    </row>
    <row r="76" spans="2:12" x14ac:dyDescent="0.2">
      <c r="F76" s="118"/>
      <c r="G76" s="118"/>
      <c r="H76" s="118"/>
      <c r="I76" s="118"/>
      <c r="J76" s="118"/>
      <c r="K76" s="118"/>
      <c r="L76" s="118"/>
    </row>
    <row r="77" spans="2:12" x14ac:dyDescent="0.2">
      <c r="F77" s="118"/>
      <c r="G77" s="118"/>
      <c r="H77" s="118"/>
      <c r="I77" s="118"/>
      <c r="J77" s="118"/>
      <c r="K77" s="118"/>
      <c r="L77" s="118"/>
    </row>
    <row r="78" spans="2:12" x14ac:dyDescent="0.2">
      <c r="F78" s="118"/>
      <c r="G78" s="118"/>
      <c r="H78" s="118"/>
      <c r="I78" s="118"/>
      <c r="J78" s="118"/>
      <c r="K78" s="118"/>
      <c r="L78" s="118"/>
    </row>
    <row r="79" spans="2:12" x14ac:dyDescent="0.2">
      <c r="F79" s="118"/>
      <c r="G79" s="118"/>
      <c r="H79" s="118"/>
      <c r="I79" s="118"/>
      <c r="J79" s="118"/>
      <c r="K79" s="118"/>
      <c r="L79" s="118"/>
    </row>
    <row r="80" spans="2:12" x14ac:dyDescent="0.2">
      <c r="F80" s="118"/>
      <c r="G80" s="118"/>
      <c r="H80" s="118"/>
      <c r="I80" s="118"/>
      <c r="J80" s="118"/>
      <c r="K80" s="118"/>
      <c r="L80" s="118"/>
    </row>
    <row r="81" spans="4:12" x14ac:dyDescent="0.2">
      <c r="D81" s="134"/>
      <c r="F81" s="118"/>
      <c r="G81" s="118"/>
      <c r="H81" s="118"/>
      <c r="I81" s="118"/>
      <c r="J81" s="118"/>
      <c r="K81" s="118"/>
      <c r="L81" s="118"/>
    </row>
    <row r="82" spans="4:12" x14ac:dyDescent="0.2">
      <c r="E82" s="137"/>
      <c r="F82" s="245"/>
      <c r="G82" s="118"/>
      <c r="H82" s="118"/>
      <c r="I82" s="118"/>
      <c r="J82" s="118"/>
      <c r="K82" s="118"/>
      <c r="L82" s="118"/>
    </row>
    <row r="83" spans="4:12" x14ac:dyDescent="0.2">
      <c r="E83" s="137"/>
      <c r="F83" s="245"/>
      <c r="G83" s="118"/>
      <c r="H83" s="118"/>
      <c r="I83" s="118"/>
      <c r="J83" s="118"/>
      <c r="K83" s="118"/>
      <c r="L83" s="118"/>
    </row>
    <row r="84" spans="4:12" x14ac:dyDescent="0.2">
      <c r="E84" s="137"/>
      <c r="F84" s="245"/>
      <c r="G84" s="118"/>
      <c r="H84" s="118"/>
      <c r="I84" s="118"/>
      <c r="J84" s="118"/>
      <c r="K84" s="118"/>
      <c r="L84" s="118"/>
    </row>
    <row r="85" spans="4:12" x14ac:dyDescent="0.2">
      <c r="E85" s="137"/>
      <c r="F85" s="245"/>
      <c r="G85" s="118"/>
      <c r="H85" s="118"/>
      <c r="I85" s="118"/>
      <c r="J85" s="118"/>
      <c r="K85" s="118"/>
      <c r="L85" s="118"/>
    </row>
    <row r="86" spans="4:12" x14ac:dyDescent="0.2">
      <c r="E86" s="137"/>
      <c r="F86" s="245"/>
      <c r="G86" s="118"/>
      <c r="H86" s="118"/>
      <c r="I86" s="118"/>
      <c r="J86" s="118"/>
      <c r="K86" s="118"/>
      <c r="L86" s="118"/>
    </row>
    <row r="87" spans="4:12" x14ac:dyDescent="0.2">
      <c r="E87" s="137"/>
      <c r="F87" s="245"/>
      <c r="G87" s="118"/>
      <c r="H87" s="118"/>
      <c r="I87" s="118"/>
      <c r="J87" s="118"/>
      <c r="K87" s="118"/>
      <c r="L87" s="118"/>
    </row>
    <row r="88" spans="4:12" x14ac:dyDescent="0.2">
      <c r="E88" s="137"/>
      <c r="F88" s="245"/>
      <c r="G88" s="118"/>
      <c r="H88" s="118"/>
      <c r="I88" s="118"/>
      <c r="J88" s="118"/>
      <c r="K88" s="118"/>
      <c r="L88" s="118"/>
    </row>
    <row r="89" spans="4:12" x14ac:dyDescent="0.2">
      <c r="E89" s="137"/>
      <c r="F89" s="245"/>
      <c r="G89" s="118"/>
      <c r="H89" s="118"/>
      <c r="I89" s="118"/>
      <c r="J89" s="118"/>
      <c r="K89" s="118"/>
      <c r="L89" s="118"/>
    </row>
    <row r="90" spans="4:12" x14ac:dyDescent="0.2">
      <c r="E90" s="137"/>
      <c r="F90" s="245"/>
      <c r="G90" s="118"/>
      <c r="H90" s="118"/>
      <c r="I90" s="118"/>
      <c r="J90" s="118"/>
      <c r="K90" s="118"/>
      <c r="L90" s="118"/>
    </row>
    <row r="91" spans="4:12" x14ac:dyDescent="0.2">
      <c r="E91" s="137"/>
      <c r="F91" s="245"/>
      <c r="G91" s="118"/>
      <c r="H91" s="118"/>
      <c r="I91" s="118"/>
      <c r="J91" s="118"/>
      <c r="K91" s="118"/>
      <c r="L91" s="118"/>
    </row>
    <row r="92" spans="4:12" x14ac:dyDescent="0.2">
      <c r="E92" s="137"/>
      <c r="F92" s="245"/>
      <c r="G92" s="118"/>
      <c r="H92" s="118"/>
      <c r="I92" s="118"/>
      <c r="J92" s="118"/>
      <c r="K92" s="118"/>
      <c r="L92" s="118"/>
    </row>
    <row r="93" spans="4:12" x14ac:dyDescent="0.2">
      <c r="E93" s="137"/>
      <c r="F93" s="245"/>
      <c r="G93" s="118"/>
      <c r="H93" s="118"/>
      <c r="I93" s="118"/>
      <c r="J93" s="118"/>
      <c r="K93" s="118"/>
      <c r="L93" s="118"/>
    </row>
    <row r="94" spans="4:12" x14ac:dyDescent="0.2">
      <c r="E94" s="139"/>
      <c r="F94" s="245"/>
      <c r="G94" s="118"/>
      <c r="H94" s="118"/>
      <c r="I94" s="118"/>
      <c r="J94" s="118"/>
      <c r="K94" s="118"/>
      <c r="L94" s="118"/>
    </row>
    <row r="95" spans="4:12" x14ac:dyDescent="0.2">
      <c r="E95" s="138"/>
      <c r="F95" s="118"/>
      <c r="G95" s="118"/>
      <c r="H95" s="118"/>
      <c r="I95" s="118"/>
      <c r="J95" s="118"/>
      <c r="K95" s="118"/>
      <c r="L95" s="118"/>
    </row>
    <row r="96" spans="4:12" x14ac:dyDescent="0.2">
      <c r="D96" s="134"/>
      <c r="F96" s="118"/>
      <c r="G96" s="118"/>
      <c r="H96" s="118"/>
      <c r="I96" s="118"/>
      <c r="J96" s="118"/>
      <c r="K96" s="118"/>
      <c r="L96" s="118"/>
    </row>
    <row r="97" spans="5:12" x14ac:dyDescent="0.2">
      <c r="E97" s="137"/>
      <c r="F97" s="245"/>
      <c r="G97" s="118"/>
      <c r="H97" s="118"/>
      <c r="I97" s="118"/>
      <c r="J97" s="118"/>
      <c r="K97" s="118"/>
      <c r="L97" s="118"/>
    </row>
    <row r="98" spans="5:12" x14ac:dyDescent="0.2">
      <c r="E98" s="137"/>
      <c r="F98" s="245"/>
      <c r="G98" s="118"/>
      <c r="H98" s="118"/>
      <c r="I98" s="118"/>
      <c r="J98" s="118"/>
      <c r="K98" s="118"/>
      <c r="L98" s="118"/>
    </row>
    <row r="99" spans="5:12" x14ac:dyDescent="0.2">
      <c r="E99" s="137"/>
      <c r="F99" s="245"/>
      <c r="G99" s="118"/>
      <c r="H99" s="118"/>
      <c r="I99" s="118"/>
      <c r="J99" s="118"/>
      <c r="K99" s="118"/>
      <c r="L99" s="118"/>
    </row>
    <row r="100" spans="5:12" x14ac:dyDescent="0.2">
      <c r="E100" s="137"/>
      <c r="F100" s="245"/>
      <c r="G100" s="118"/>
      <c r="H100" s="118"/>
      <c r="I100" s="118"/>
      <c r="J100" s="118"/>
      <c r="K100" s="118"/>
      <c r="L100" s="118"/>
    </row>
    <row r="101" spans="5:12" x14ac:dyDescent="0.2">
      <c r="E101" s="137"/>
      <c r="F101" s="245"/>
      <c r="G101" s="118"/>
      <c r="H101" s="118"/>
      <c r="I101" s="118"/>
      <c r="J101" s="118"/>
      <c r="K101" s="118"/>
      <c r="L101" s="118"/>
    </row>
    <row r="102" spans="5:12" x14ac:dyDescent="0.2">
      <c r="E102" s="137"/>
      <c r="F102" s="245"/>
      <c r="G102" s="118"/>
      <c r="H102" s="118"/>
      <c r="I102" s="118"/>
      <c r="J102" s="118"/>
      <c r="K102" s="118"/>
      <c r="L102" s="118"/>
    </row>
    <row r="103" spans="5:12" x14ac:dyDescent="0.2">
      <c r="E103" s="137"/>
      <c r="F103" s="245"/>
      <c r="G103" s="118"/>
      <c r="H103" s="118"/>
      <c r="I103" s="118"/>
      <c r="J103" s="118"/>
      <c r="K103" s="118"/>
      <c r="L103" s="118"/>
    </row>
    <row r="104" spans="5:12" x14ac:dyDescent="0.2">
      <c r="E104" s="137"/>
      <c r="F104" s="245"/>
      <c r="G104" s="118"/>
      <c r="H104" s="118"/>
      <c r="I104" s="118"/>
      <c r="J104" s="118"/>
      <c r="K104" s="118"/>
      <c r="L104" s="118"/>
    </row>
    <row r="105" spans="5:12" x14ac:dyDescent="0.2">
      <c r="E105" s="137"/>
      <c r="F105" s="245"/>
      <c r="G105" s="118"/>
      <c r="H105" s="118"/>
      <c r="I105" s="118"/>
      <c r="J105" s="118"/>
      <c r="K105" s="118"/>
      <c r="L105" s="118"/>
    </row>
    <row r="106" spans="5:12" x14ac:dyDescent="0.2">
      <c r="E106" s="137"/>
      <c r="F106" s="245"/>
      <c r="G106" s="118"/>
      <c r="H106" s="118"/>
      <c r="I106" s="118"/>
      <c r="J106" s="118"/>
      <c r="K106" s="118"/>
      <c r="L106" s="118"/>
    </row>
    <row r="107" spans="5:12" x14ac:dyDescent="0.2">
      <c r="E107" s="137"/>
      <c r="F107" s="245"/>
      <c r="G107" s="118"/>
      <c r="H107" s="118"/>
      <c r="I107" s="118"/>
      <c r="J107" s="118"/>
      <c r="K107" s="118"/>
      <c r="L107" s="118"/>
    </row>
    <row r="108" spans="5:12" x14ac:dyDescent="0.2">
      <c r="E108" s="137"/>
      <c r="F108" s="245"/>
      <c r="G108" s="118"/>
      <c r="H108" s="118"/>
      <c r="I108" s="118"/>
      <c r="J108" s="118"/>
      <c r="K108" s="118"/>
      <c r="L108" s="118"/>
    </row>
    <row r="109" spans="5:12" x14ac:dyDescent="0.2">
      <c r="E109" s="137"/>
      <c r="F109" s="245"/>
      <c r="G109" s="118"/>
      <c r="H109" s="118"/>
      <c r="I109" s="118"/>
      <c r="J109" s="118"/>
      <c r="K109" s="118"/>
      <c r="L109" s="118"/>
    </row>
    <row r="110" spans="5:12" x14ac:dyDescent="0.2">
      <c r="E110" s="137"/>
      <c r="F110" s="245"/>
      <c r="G110" s="118"/>
      <c r="H110" s="118"/>
      <c r="I110" s="118"/>
      <c r="J110" s="118"/>
      <c r="K110" s="118"/>
      <c r="L110" s="118"/>
    </row>
    <row r="111" spans="5:12" x14ac:dyDescent="0.2">
      <c r="E111" s="137"/>
      <c r="F111" s="245"/>
      <c r="G111" s="118"/>
      <c r="H111" s="118"/>
      <c r="I111" s="118"/>
      <c r="J111" s="118"/>
      <c r="K111" s="118"/>
      <c r="L111" s="118"/>
    </row>
    <row r="112" spans="5:12" x14ac:dyDescent="0.2">
      <c r="E112" s="137"/>
      <c r="F112" s="140"/>
    </row>
    <row r="113" spans="5:6" x14ac:dyDescent="0.2">
      <c r="E113" s="137"/>
      <c r="F113" s="140"/>
    </row>
    <row r="114" spans="5:6" x14ac:dyDescent="0.2">
      <c r="E114" s="137"/>
      <c r="F114" s="140"/>
    </row>
    <row r="115" spans="5:6" x14ac:dyDescent="0.2">
      <c r="E115" s="137"/>
      <c r="F115" s="140"/>
    </row>
    <row r="116" spans="5:6" x14ac:dyDescent="0.2">
      <c r="E116" s="137"/>
      <c r="F116" s="140"/>
    </row>
    <row r="117" spans="5:6" x14ac:dyDescent="0.2">
      <c r="E117" s="137"/>
      <c r="F117" s="140"/>
    </row>
    <row r="118" spans="5:6" x14ac:dyDescent="0.2">
      <c r="E118" s="137"/>
      <c r="F118" s="140"/>
    </row>
    <row r="119" spans="5:6" x14ac:dyDescent="0.2">
      <c r="E119" s="138"/>
    </row>
  </sheetData>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48"/>
  <sheetViews>
    <sheetView topLeftCell="H7" workbookViewId="0">
      <selection activeCell="O12" sqref="O12"/>
    </sheetView>
  </sheetViews>
  <sheetFormatPr baseColWidth="10" defaultRowHeight="15" x14ac:dyDescent="0.25"/>
  <cols>
    <col min="2" max="2" width="15.5703125" bestFit="1" customWidth="1"/>
    <col min="3" max="3" width="19.140625" bestFit="1" customWidth="1"/>
    <col min="5" max="5" width="12.85546875" customWidth="1"/>
    <col min="6" max="6" width="16.85546875" bestFit="1" customWidth="1"/>
    <col min="7" max="7" width="15.140625" bestFit="1" customWidth="1"/>
    <col min="8" max="8" width="10.7109375" customWidth="1"/>
    <col min="9" max="9" width="18.140625" customWidth="1"/>
    <col min="10" max="10" width="13.140625" bestFit="1" customWidth="1"/>
    <col min="14" max="14" width="16.28515625" bestFit="1" customWidth="1"/>
    <col min="15" max="15" width="16.140625" customWidth="1"/>
    <col min="16" max="16" width="19" bestFit="1" customWidth="1"/>
    <col min="17" max="17" width="18.28515625" bestFit="1" customWidth="1"/>
  </cols>
  <sheetData>
    <row r="2" spans="1:18" ht="15.75" thickBot="1" x14ac:dyDescent="0.3">
      <c r="B2" s="2"/>
      <c r="C2" s="249" t="s">
        <v>11</v>
      </c>
      <c r="D2" s="249"/>
      <c r="E2" s="249"/>
      <c r="F2" s="250" t="s">
        <v>12</v>
      </c>
      <c r="G2" s="251"/>
      <c r="H2" s="251"/>
      <c r="I2" s="2"/>
      <c r="J2" s="2"/>
      <c r="K2" s="2"/>
      <c r="L2" s="2"/>
      <c r="M2" s="2"/>
      <c r="N2" s="2"/>
      <c r="O2" s="2"/>
    </row>
    <row r="3" spans="1:18" ht="15.75" thickBot="1" x14ac:dyDescent="0.3">
      <c r="B3" s="1" t="s">
        <v>1</v>
      </c>
      <c r="C3" s="1" t="s">
        <v>2</v>
      </c>
      <c r="D3" s="1" t="s">
        <v>3</v>
      </c>
      <c r="E3" s="1" t="s">
        <v>4</v>
      </c>
      <c r="F3" s="3" t="s">
        <v>2</v>
      </c>
      <c r="G3" s="1" t="s">
        <v>3</v>
      </c>
      <c r="H3" s="1" t="s">
        <v>4</v>
      </c>
      <c r="I3" s="7" t="s">
        <v>2</v>
      </c>
      <c r="J3" s="8" t="s">
        <v>3</v>
      </c>
      <c r="K3" s="9" t="s">
        <v>30</v>
      </c>
      <c r="L3" s="2"/>
      <c r="M3" s="2"/>
      <c r="N3" s="2"/>
      <c r="O3" s="2"/>
    </row>
    <row r="4" spans="1:18" x14ac:dyDescent="0.25">
      <c r="B4" s="2" t="s">
        <v>0</v>
      </c>
      <c r="C4" s="11">
        <v>98483</v>
      </c>
      <c r="D4" s="16">
        <f t="shared" ref="D4:D9" si="0">C4/$C$11</f>
        <v>5.1779960798169461E-2</v>
      </c>
      <c r="E4" s="15">
        <v>4859</v>
      </c>
      <c r="F4" s="36">
        <v>6784</v>
      </c>
      <c r="G4" s="16">
        <f>F4/$F$11</f>
        <v>3.0264988173277765E-3</v>
      </c>
      <c r="H4" s="15">
        <v>1509</v>
      </c>
      <c r="I4" s="37">
        <f t="shared" ref="I4:I11" si="1">F4+C4</f>
        <v>105267</v>
      </c>
      <c r="J4" s="38">
        <f>I4/$I$11</f>
        <v>2.5405419494599474E-2</v>
      </c>
      <c r="K4" s="39">
        <f t="shared" ref="K4:K10" si="2">((C4*E4)+(F4*H4))/I4</f>
        <v>4643.1070800915768</v>
      </c>
      <c r="L4" s="2"/>
      <c r="M4" s="2"/>
      <c r="N4" s="2"/>
      <c r="O4" s="2"/>
    </row>
    <row r="5" spans="1:18" x14ac:dyDescent="0.25">
      <c r="B5" s="2" t="s">
        <v>5</v>
      </c>
      <c r="C5" s="11">
        <v>493144</v>
      </c>
      <c r="D5" s="16">
        <f t="shared" si="0"/>
        <v>0.2592830944208897</v>
      </c>
      <c r="E5" s="15">
        <v>2014</v>
      </c>
      <c r="F5" s="40">
        <v>12704</v>
      </c>
      <c r="G5" s="16">
        <f t="shared" ref="G5:G10" si="3">F5/$F$11</f>
        <v>5.6675473135807891E-3</v>
      </c>
      <c r="H5" s="15">
        <v>1475</v>
      </c>
      <c r="I5" s="37">
        <f t="shared" si="1"/>
        <v>505848</v>
      </c>
      <c r="J5" s="38">
        <f t="shared" ref="J5:J10" si="4">I5/$I$11</f>
        <v>0.12208271006587207</v>
      </c>
      <c r="K5" s="39">
        <f t="shared" si="2"/>
        <v>2000.4634119340196</v>
      </c>
      <c r="L5" s="2"/>
      <c r="M5" s="2"/>
      <c r="N5" s="2"/>
      <c r="O5" s="2"/>
    </row>
    <row r="6" spans="1:18" x14ac:dyDescent="0.25">
      <c r="B6" s="2" t="s">
        <v>6</v>
      </c>
      <c r="C6" s="11">
        <v>388608</v>
      </c>
      <c r="D6" s="16">
        <f t="shared" si="0"/>
        <v>0.20432061376943267</v>
      </c>
      <c r="E6" s="15">
        <v>899</v>
      </c>
      <c r="F6" s="40">
        <v>61868</v>
      </c>
      <c r="G6" s="16">
        <f t="shared" si="3"/>
        <v>2.7600741278071179E-2</v>
      </c>
      <c r="H6" s="15">
        <v>502</v>
      </c>
      <c r="I6" s="37">
        <f t="shared" si="1"/>
        <v>450476</v>
      </c>
      <c r="J6" s="38">
        <f t="shared" si="4"/>
        <v>0.10871908339982324</v>
      </c>
      <c r="K6" s="39">
        <f t="shared" si="2"/>
        <v>844.47634946145854</v>
      </c>
      <c r="L6" s="2"/>
      <c r="M6" s="2"/>
      <c r="N6" s="2"/>
      <c r="O6" s="2"/>
      <c r="P6" s="2"/>
      <c r="Q6" s="2" t="s">
        <v>27</v>
      </c>
      <c r="R6" s="2"/>
    </row>
    <row r="7" spans="1:18" x14ac:dyDescent="0.25">
      <c r="B7" s="2" t="s">
        <v>7</v>
      </c>
      <c r="C7" s="11">
        <v>111051</v>
      </c>
      <c r="D7" s="16">
        <f t="shared" si="0"/>
        <v>5.8387908843125377E-2</v>
      </c>
      <c r="E7" s="15">
        <v>620</v>
      </c>
      <c r="F7" s="40">
        <v>7915</v>
      </c>
      <c r="G7" s="16">
        <f t="shared" si="3"/>
        <v>3.5310639945680057E-3</v>
      </c>
      <c r="H7" s="15">
        <v>1160</v>
      </c>
      <c r="I7" s="37">
        <f t="shared" si="1"/>
        <v>118966</v>
      </c>
      <c r="J7" s="38">
        <f t="shared" si="4"/>
        <v>2.8711572815740178E-2</v>
      </c>
      <c r="K7" s="39">
        <f t="shared" si="2"/>
        <v>655.9270716002892</v>
      </c>
      <c r="L7" s="2"/>
      <c r="M7" s="2"/>
      <c r="N7" s="2"/>
      <c r="O7" s="2"/>
      <c r="P7" s="45">
        <v>2018</v>
      </c>
      <c r="Q7" s="45">
        <v>2019</v>
      </c>
      <c r="R7" s="45" t="s">
        <v>24</v>
      </c>
    </row>
    <row r="8" spans="1:18" x14ac:dyDescent="0.25">
      <c r="B8" s="2" t="s">
        <v>8</v>
      </c>
      <c r="C8" s="11">
        <v>621173</v>
      </c>
      <c r="D8" s="16">
        <f t="shared" si="0"/>
        <v>0.3265976218116966</v>
      </c>
      <c r="E8" s="15">
        <v>285</v>
      </c>
      <c r="F8" s="40">
        <v>330246</v>
      </c>
      <c r="G8" s="16">
        <f t="shared" si="3"/>
        <v>0.14733035501580613</v>
      </c>
      <c r="H8" s="15">
        <v>-11</v>
      </c>
      <c r="I8" s="37">
        <f t="shared" si="1"/>
        <v>951419</v>
      </c>
      <c r="J8" s="38">
        <f t="shared" si="4"/>
        <v>0.22961800763897838</v>
      </c>
      <c r="K8" s="39">
        <f t="shared" si="2"/>
        <v>182.25576638683901</v>
      </c>
      <c r="L8" s="2"/>
      <c r="M8" s="2"/>
      <c r="N8" s="2"/>
      <c r="O8" s="2" t="s">
        <v>49</v>
      </c>
      <c r="P8" s="46">
        <v>230000</v>
      </c>
      <c r="Q8" s="46">
        <v>250000</v>
      </c>
      <c r="R8" s="47">
        <f>(Q8/P8)-1</f>
        <v>8.6956521739130377E-2</v>
      </c>
    </row>
    <row r="9" spans="1:18" x14ac:dyDescent="0.25">
      <c r="B9" s="2" t="s">
        <v>9</v>
      </c>
      <c r="C9" s="11">
        <v>189493</v>
      </c>
      <c r="D9" s="16">
        <f t="shared" si="0"/>
        <v>9.9630800356686186E-2</v>
      </c>
      <c r="E9" s="15">
        <v>-249</v>
      </c>
      <c r="F9" s="40">
        <v>947235</v>
      </c>
      <c r="G9" s="16">
        <f t="shared" si="3"/>
        <v>0.42258337370746996</v>
      </c>
      <c r="H9" s="15">
        <v>67</v>
      </c>
      <c r="I9" s="37">
        <f t="shared" si="1"/>
        <v>1136728</v>
      </c>
      <c r="J9" s="38">
        <f t="shared" si="4"/>
        <v>0.27434097762125903</v>
      </c>
      <c r="K9" s="39">
        <f t="shared" si="2"/>
        <v>14.32267701684132</v>
      </c>
      <c r="L9" s="2"/>
      <c r="M9" s="2"/>
      <c r="N9" s="2"/>
      <c r="O9" s="2" t="s">
        <v>48</v>
      </c>
      <c r="P9" s="16">
        <f>(C17/P8)</f>
        <v>8.1608695652173907E-2</v>
      </c>
      <c r="Q9" s="16">
        <f>Q17/Q8</f>
        <v>0.11262</v>
      </c>
    </row>
    <row r="10" spans="1:18" ht="15.75" thickBot="1" x14ac:dyDescent="0.3">
      <c r="B10" s="2" t="s">
        <v>10</v>
      </c>
      <c r="C10" s="14"/>
      <c r="D10" s="21"/>
      <c r="E10" s="21"/>
      <c r="F10" s="41">
        <v>874782</v>
      </c>
      <c r="G10" s="18">
        <f t="shared" si="3"/>
        <v>0.39026041987317611</v>
      </c>
      <c r="H10" s="17">
        <v>-111</v>
      </c>
      <c r="I10" s="42">
        <f t="shared" si="1"/>
        <v>874782</v>
      </c>
      <c r="J10" s="43">
        <f t="shared" si="4"/>
        <v>0.21112222896372765</v>
      </c>
      <c r="K10" s="44">
        <f t="shared" si="2"/>
        <v>-111</v>
      </c>
      <c r="L10" s="2"/>
    </row>
    <row r="11" spans="1:18" x14ac:dyDescent="0.25">
      <c r="B11" s="2"/>
      <c r="C11" s="19">
        <f>SUM(C4:C10)</f>
        <v>1901952</v>
      </c>
      <c r="D11" s="2"/>
      <c r="E11" s="2"/>
      <c r="F11" s="11">
        <f>SUM(F4:F10)</f>
        <v>2241534</v>
      </c>
      <c r="G11" s="2"/>
      <c r="H11" s="2"/>
      <c r="I11" s="19">
        <f t="shared" si="1"/>
        <v>4143486</v>
      </c>
      <c r="J11" s="2"/>
      <c r="K11" s="2"/>
      <c r="L11" s="2"/>
    </row>
    <row r="12" spans="1:18" x14ac:dyDescent="0.25">
      <c r="B12" s="2"/>
      <c r="C12" s="2"/>
      <c r="D12" s="2"/>
      <c r="E12" s="2"/>
      <c r="F12" s="2"/>
      <c r="G12" s="2"/>
      <c r="H12" s="2"/>
      <c r="I12" s="2"/>
      <c r="J12" s="2"/>
      <c r="K12" s="2"/>
      <c r="L12" s="2"/>
      <c r="Q12" s="4"/>
    </row>
    <row r="14" spans="1:18" x14ac:dyDescent="0.25">
      <c r="B14" s="255" t="s">
        <v>28</v>
      </c>
      <c r="C14" s="255"/>
      <c r="D14" s="255"/>
      <c r="E14" s="255"/>
      <c r="F14" s="255"/>
      <c r="G14" s="255"/>
      <c r="H14" s="255"/>
      <c r="I14" s="255"/>
      <c r="J14" s="247" t="s">
        <v>23</v>
      </c>
      <c r="K14" s="248"/>
      <c r="L14" s="248"/>
      <c r="M14" s="248"/>
      <c r="N14" s="248"/>
      <c r="O14" s="248"/>
      <c r="P14" s="248"/>
      <c r="Q14" s="248"/>
      <c r="R14" s="248"/>
    </row>
    <row r="15" spans="1:18" x14ac:dyDescent="0.25">
      <c r="A15" s="2"/>
      <c r="B15" s="256" t="s">
        <v>43</v>
      </c>
      <c r="C15" s="252" t="s">
        <v>15</v>
      </c>
      <c r="D15" s="253"/>
      <c r="E15" s="252" t="s">
        <v>16</v>
      </c>
      <c r="F15" s="252"/>
      <c r="G15" s="254" t="s">
        <v>19</v>
      </c>
      <c r="H15" s="254"/>
      <c r="I15" s="2"/>
      <c r="J15" s="252" t="s">
        <v>15</v>
      </c>
      <c r="K15" s="252"/>
      <c r="L15" s="2"/>
      <c r="M15" s="2"/>
      <c r="N15" s="2"/>
      <c r="O15" s="2"/>
      <c r="P15" s="2"/>
    </row>
    <row r="16" spans="1:18" x14ac:dyDescent="0.25">
      <c r="A16" s="2"/>
      <c r="B16" s="257"/>
      <c r="C16" s="10" t="s">
        <v>13</v>
      </c>
      <c r="D16" s="29" t="s">
        <v>14</v>
      </c>
      <c r="E16" s="10" t="s">
        <v>13</v>
      </c>
      <c r="F16" s="10" t="s">
        <v>14</v>
      </c>
      <c r="G16" s="20" t="s">
        <v>20</v>
      </c>
      <c r="H16" s="20" t="s">
        <v>21</v>
      </c>
      <c r="I16" s="20" t="s">
        <v>22</v>
      </c>
      <c r="J16" s="22" t="s">
        <v>13</v>
      </c>
      <c r="K16" s="22" t="s">
        <v>14</v>
      </c>
      <c r="L16" s="26" t="s">
        <v>24</v>
      </c>
      <c r="M16" s="22" t="s">
        <v>25</v>
      </c>
      <c r="N16" s="22" t="s">
        <v>20</v>
      </c>
      <c r="O16" s="22" t="s">
        <v>21</v>
      </c>
      <c r="P16" s="22" t="s">
        <v>22</v>
      </c>
      <c r="Q16" s="22" t="s">
        <v>26</v>
      </c>
      <c r="R16" s="22" t="s">
        <v>21</v>
      </c>
    </row>
    <row r="17" spans="1:20" x14ac:dyDescent="0.25">
      <c r="A17" s="2"/>
      <c r="B17" s="35" t="s">
        <v>0</v>
      </c>
      <c r="C17" s="12">
        <v>18770</v>
      </c>
      <c r="D17" s="11">
        <v>86497</v>
      </c>
      <c r="E17" s="30">
        <v>4876</v>
      </c>
      <c r="F17" s="31">
        <v>4600.6000000000004</v>
      </c>
      <c r="G17" s="32">
        <f t="shared" ref="G17:G24" si="5">C17*E17</f>
        <v>91522520</v>
      </c>
      <c r="H17" s="16">
        <f>G17/$G$25</f>
        <v>0.20001245874596071</v>
      </c>
      <c r="I17" s="116">
        <f t="shared" ref="I17:I24" si="6">C17/$C$26</f>
        <v>4.5300020321053331E-3</v>
      </c>
      <c r="J17" s="48">
        <f t="shared" ref="J17:J24" si="7">C17*(1+L17)</f>
        <v>46925</v>
      </c>
      <c r="K17" s="49">
        <f>(D17+C17)-J17</f>
        <v>58342</v>
      </c>
      <c r="L17" s="27">
        <v>1.5</v>
      </c>
      <c r="M17" s="19">
        <f>(J17+K17)-(C17+D17)</f>
        <v>0</v>
      </c>
      <c r="N17" s="23">
        <f t="shared" ref="N17:N24" si="8">((C17*E17)+((D17-K17)*F17))</f>
        <v>221052413</v>
      </c>
      <c r="O17" s="58">
        <f>N17/$N$25</f>
        <v>0.26806020609970699</v>
      </c>
      <c r="P17" s="77">
        <f>J17/$J$26</f>
        <v>1.0364995617324228E-2</v>
      </c>
      <c r="Q17" s="25">
        <f>J17-C17</f>
        <v>28155</v>
      </c>
      <c r="R17" s="4">
        <f>Q17/$Q$25</f>
        <v>0.12913020590110594</v>
      </c>
    </row>
    <row r="18" spans="1:20" x14ac:dyDescent="0.25">
      <c r="A18" s="2"/>
      <c r="B18" s="35" t="s">
        <v>5</v>
      </c>
      <c r="C18" s="13">
        <v>74814</v>
      </c>
      <c r="D18" s="11">
        <v>431034</v>
      </c>
      <c r="E18" s="30">
        <v>2090.21</v>
      </c>
      <c r="F18" s="31">
        <v>1985.47</v>
      </c>
      <c r="G18" s="33">
        <f t="shared" si="5"/>
        <v>156376970.94</v>
      </c>
      <c r="H18" s="16">
        <f t="shared" ref="H18:H24" si="9">G18/$G$25</f>
        <v>0.34174476892632594</v>
      </c>
      <c r="I18" s="116">
        <f t="shared" si="6"/>
        <v>1.8055810976554523E-2</v>
      </c>
      <c r="J18" s="48">
        <f t="shared" si="7"/>
        <v>146635.44</v>
      </c>
      <c r="K18" s="49">
        <f>(D18+C18)-J18</f>
        <v>359212.56</v>
      </c>
      <c r="L18" s="28">
        <v>0.96</v>
      </c>
      <c r="M18" s="19">
        <f>(J18+K18)-(C18+D18)</f>
        <v>0</v>
      </c>
      <c r="N18" s="23">
        <f t="shared" si="8"/>
        <v>298976285.41680002</v>
      </c>
      <c r="O18" s="58">
        <f t="shared" ref="O18:O24" si="10">N18/$N$25</f>
        <v>0.36255494160903928</v>
      </c>
      <c r="P18" s="77">
        <f t="shared" ref="P18:P24" si="11">J18/$J$26</f>
        <v>3.2389466019060412E-2</v>
      </c>
      <c r="Q18" s="25">
        <f>J18-C18</f>
        <v>71821.440000000002</v>
      </c>
      <c r="R18" s="4">
        <f t="shared" ref="R18:R20" si="12">Q18/$Q$25</f>
        <v>0.32940214296977188</v>
      </c>
    </row>
    <row r="19" spans="1:20" x14ac:dyDescent="0.25">
      <c r="A19" s="2"/>
      <c r="B19" s="35" t="s">
        <v>6</v>
      </c>
      <c r="C19" s="13">
        <v>109355</v>
      </c>
      <c r="D19" s="11">
        <v>341121</v>
      </c>
      <c r="E19" s="30">
        <v>894.89</v>
      </c>
      <c r="F19" s="31">
        <v>829.03</v>
      </c>
      <c r="G19" s="33">
        <f t="shared" si="5"/>
        <v>97860695.950000003</v>
      </c>
      <c r="H19" s="16">
        <f t="shared" si="9"/>
        <v>0.21386384915483511</v>
      </c>
      <c r="I19" s="116">
        <f t="shared" si="6"/>
        <v>2.6392028354868341E-2</v>
      </c>
      <c r="J19" s="48">
        <f t="shared" si="7"/>
        <v>196839</v>
      </c>
      <c r="K19" s="49">
        <f>(D19+C19)-J19</f>
        <v>253637</v>
      </c>
      <c r="L19" s="28">
        <v>0.8</v>
      </c>
      <c r="M19" s="19">
        <f>(J19+K19)-(C19+D19)</f>
        <v>0</v>
      </c>
      <c r="N19" s="23">
        <f t="shared" si="8"/>
        <v>170387556.47</v>
      </c>
      <c r="O19" s="58">
        <f t="shared" si="10"/>
        <v>0.2066212392088824</v>
      </c>
      <c r="P19" s="77">
        <f t="shared" si="11"/>
        <v>4.3478644055801464E-2</v>
      </c>
      <c r="Q19" s="25">
        <f>J19-C19</f>
        <v>87484</v>
      </c>
      <c r="R19" s="4">
        <f t="shared" si="12"/>
        <v>0.40123697151668808</v>
      </c>
    </row>
    <row r="20" spans="1:20" x14ac:dyDescent="0.25">
      <c r="A20" s="2"/>
      <c r="B20" s="51" t="s">
        <v>7</v>
      </c>
      <c r="C20" s="14">
        <v>43679</v>
      </c>
      <c r="D20" s="14">
        <v>75287</v>
      </c>
      <c r="E20" s="52">
        <v>524.5</v>
      </c>
      <c r="F20" s="53">
        <v>732.52</v>
      </c>
      <c r="G20" s="34">
        <f t="shared" si="5"/>
        <v>22909635.5</v>
      </c>
      <c r="H20" s="18">
        <f t="shared" si="9"/>
        <v>5.0066503034758514E-2</v>
      </c>
      <c r="I20" s="117">
        <f t="shared" si="6"/>
        <v>1.0541606753347301E-2</v>
      </c>
      <c r="J20" s="50">
        <f t="shared" si="7"/>
        <v>74254.3</v>
      </c>
      <c r="K20" s="54">
        <f>(D20+C20)-J20</f>
        <v>44711.7</v>
      </c>
      <c r="L20" s="55">
        <v>0.7</v>
      </c>
      <c r="M20" s="56">
        <f>(J20+K20)-(C20+D20)</f>
        <v>0</v>
      </c>
      <c r="N20" s="24">
        <f t="shared" si="8"/>
        <v>45306654.255999997</v>
      </c>
      <c r="O20" s="59">
        <f t="shared" si="10"/>
        <v>5.4941318724946585E-2</v>
      </c>
      <c r="P20" s="78">
        <f t="shared" si="11"/>
        <v>1.6401608824027244E-2</v>
      </c>
      <c r="Q20" s="57">
        <f>J20-C20</f>
        <v>30575.300000000003</v>
      </c>
      <c r="R20" s="6">
        <f t="shared" si="12"/>
        <v>0.14023067961243421</v>
      </c>
    </row>
    <row r="21" spans="1:20" x14ac:dyDescent="0.25">
      <c r="A21" s="2"/>
      <c r="B21" s="2" t="s">
        <v>8</v>
      </c>
      <c r="C21" s="13">
        <v>951419</v>
      </c>
      <c r="D21" s="11"/>
      <c r="E21" s="30">
        <v>183.19</v>
      </c>
      <c r="F21" s="31"/>
      <c r="G21" s="33">
        <f t="shared" si="5"/>
        <v>174290446.60999998</v>
      </c>
      <c r="H21" s="16">
        <f t="shared" si="9"/>
        <v>0.38089271102235484</v>
      </c>
      <c r="I21" s="116">
        <f t="shared" si="6"/>
        <v>0.22961800763897838</v>
      </c>
      <c r="J21" s="48">
        <f t="shared" si="7"/>
        <v>1046560.9000000001</v>
      </c>
      <c r="K21" s="49"/>
      <c r="L21" s="28">
        <v>0.1</v>
      </c>
      <c r="M21" s="19"/>
      <c r="N21" s="23">
        <f t="shared" si="8"/>
        <v>174290446.60999998</v>
      </c>
      <c r="O21" s="58">
        <f t="shared" si="10"/>
        <v>0.21135409654852569</v>
      </c>
      <c r="P21" s="77">
        <f t="shared" si="11"/>
        <v>0.23116886823149496</v>
      </c>
      <c r="Q21" s="25"/>
    </row>
    <row r="22" spans="1:20" x14ac:dyDescent="0.25">
      <c r="A22" s="2"/>
      <c r="B22" s="2" t="s">
        <v>9</v>
      </c>
      <c r="C22" s="13">
        <v>1136728</v>
      </c>
      <c r="D22" s="11"/>
      <c r="E22" s="30">
        <v>10.53</v>
      </c>
      <c r="F22" s="31"/>
      <c r="G22" s="33">
        <f t="shared" si="5"/>
        <v>11969745.84</v>
      </c>
      <c r="H22" s="16">
        <f t="shared" si="9"/>
        <v>2.6158570546600278E-2</v>
      </c>
      <c r="I22" s="116">
        <f t="shared" si="6"/>
        <v>0.27434097762125903</v>
      </c>
      <c r="J22" s="48">
        <f t="shared" si="7"/>
        <v>1250400.8</v>
      </c>
      <c r="K22" s="49"/>
      <c r="L22" s="28">
        <v>0.1</v>
      </c>
      <c r="M22" s="19"/>
      <c r="N22" s="23">
        <f t="shared" si="8"/>
        <v>11969745.84</v>
      </c>
      <c r="O22" s="58">
        <f t="shared" si="10"/>
        <v>1.4515166305067705E-2</v>
      </c>
      <c r="P22" s="77">
        <f t="shared" si="11"/>
        <v>0.27619390115926923</v>
      </c>
      <c r="Q22" s="25"/>
    </row>
    <row r="23" spans="1:20" x14ac:dyDescent="0.25">
      <c r="A23" s="2"/>
      <c r="B23" s="2" t="s">
        <v>17</v>
      </c>
      <c r="C23" s="13">
        <v>410934</v>
      </c>
      <c r="D23" s="11"/>
      <c r="E23" s="30">
        <v>-189.47</v>
      </c>
      <c r="F23" s="31"/>
      <c r="G23" s="33">
        <f t="shared" si="5"/>
        <v>-77859664.980000004</v>
      </c>
      <c r="H23" s="16">
        <f t="shared" si="9"/>
        <v>-0.17015378324139865</v>
      </c>
      <c r="I23" s="116">
        <f t="shared" si="6"/>
        <v>9.9175911297878158E-2</v>
      </c>
      <c r="J23" s="48">
        <f t="shared" si="7"/>
        <v>493120.8</v>
      </c>
      <c r="K23" s="49"/>
      <c r="L23" s="28">
        <v>0.2</v>
      </c>
      <c r="M23" s="19"/>
      <c r="N23" s="23">
        <f t="shared" si="8"/>
        <v>-77859664.980000004</v>
      </c>
      <c r="O23" s="58">
        <f t="shared" si="10"/>
        <v>-9.441687407136759E-2</v>
      </c>
      <c r="P23" s="77">
        <f t="shared" si="11"/>
        <v>0.10892264104020068</v>
      </c>
      <c r="Q23" s="25"/>
    </row>
    <row r="24" spans="1:20" x14ac:dyDescent="0.25">
      <c r="A24" s="2"/>
      <c r="B24" s="21" t="s">
        <v>18</v>
      </c>
      <c r="C24" s="14">
        <v>463848</v>
      </c>
      <c r="D24" s="21"/>
      <c r="E24" s="52">
        <v>-42.01</v>
      </c>
      <c r="F24" s="21"/>
      <c r="G24" s="34">
        <f t="shared" si="5"/>
        <v>-19486254.48</v>
      </c>
      <c r="H24" s="18">
        <f t="shared" si="9"/>
        <v>-4.2585078189436784E-2</v>
      </c>
      <c r="I24" s="117">
        <f t="shared" si="6"/>
        <v>0.11194631766584948</v>
      </c>
      <c r="J24" s="50">
        <f t="shared" si="7"/>
        <v>556617.6</v>
      </c>
      <c r="K24" s="54"/>
      <c r="L24" s="55">
        <v>0.2</v>
      </c>
      <c r="M24" s="56"/>
      <c r="N24" s="24">
        <f t="shared" si="8"/>
        <v>-19486254.48</v>
      </c>
      <c r="O24" s="59">
        <f t="shared" si="10"/>
        <v>-2.363009442480114E-2</v>
      </c>
      <c r="P24" s="78">
        <f t="shared" si="11"/>
        <v>0.12294808704369803</v>
      </c>
      <c r="Q24" s="57"/>
    </row>
    <row r="25" spans="1:20" x14ac:dyDescent="0.25">
      <c r="A25" s="2"/>
      <c r="B25" s="35" t="s">
        <v>46</v>
      </c>
      <c r="C25" s="49">
        <f>SUM(C17:C24)</f>
        <v>3209547</v>
      </c>
      <c r="D25" s="49">
        <f>SUM(D17:D24)</f>
        <v>933939</v>
      </c>
      <c r="E25" s="35"/>
      <c r="F25" s="35"/>
      <c r="G25" s="60">
        <f>SUM(G17:G24)</f>
        <v>457584095.38</v>
      </c>
      <c r="H25" s="61">
        <f>SUM(H17:H24)</f>
        <v>1</v>
      </c>
      <c r="I25" s="35"/>
      <c r="J25" s="48">
        <f>SUM(J17:J24)</f>
        <v>3811353.8400000003</v>
      </c>
      <c r="K25" s="48">
        <f>SUM(K17:K24)</f>
        <v>715903.26</v>
      </c>
      <c r="L25" s="35"/>
      <c r="M25" s="35"/>
      <c r="N25" s="62">
        <f>SUM(N17:N24)</f>
        <v>824637182.1328001</v>
      </c>
      <c r="O25" s="35"/>
      <c r="P25" s="35"/>
      <c r="Q25" s="65">
        <f>SUM(Q17:Q24)</f>
        <v>218035.74</v>
      </c>
    </row>
    <row r="26" spans="1:20" x14ac:dyDescent="0.25">
      <c r="B26" s="63" t="s">
        <v>47</v>
      </c>
      <c r="C26" s="64">
        <f>C25+D25</f>
        <v>4143486</v>
      </c>
      <c r="J26" s="64">
        <f>J25+K25</f>
        <v>4527257.1000000006</v>
      </c>
    </row>
    <row r="28" spans="1:20" hidden="1" x14ac:dyDescent="0.25">
      <c r="B28" s="255" t="s">
        <v>66</v>
      </c>
      <c r="C28" s="255"/>
      <c r="D28" s="255"/>
      <c r="E28" s="255"/>
      <c r="F28" s="255"/>
      <c r="G28" s="255"/>
      <c r="H28" s="255"/>
      <c r="I28" s="255"/>
      <c r="J28" s="247" t="s">
        <v>23</v>
      </c>
      <c r="K28" s="248"/>
      <c r="L28" s="248"/>
      <c r="M28" s="248"/>
      <c r="N28" s="248"/>
      <c r="O28" s="248"/>
      <c r="P28" s="248"/>
      <c r="Q28" s="248"/>
      <c r="R28" s="248"/>
      <c r="S28" s="248"/>
      <c r="T28" s="248"/>
    </row>
    <row r="29" spans="1:20" ht="15" hidden="1" customHeight="1" x14ac:dyDescent="0.25">
      <c r="B29" s="256" t="s">
        <v>43</v>
      </c>
      <c r="C29" s="252" t="s">
        <v>15</v>
      </c>
      <c r="D29" s="253"/>
      <c r="E29" s="252" t="s">
        <v>16</v>
      </c>
      <c r="F29" s="252"/>
      <c r="G29" s="254" t="s">
        <v>19</v>
      </c>
      <c r="H29" s="254"/>
      <c r="I29" s="2"/>
      <c r="J29" s="252" t="s">
        <v>15</v>
      </c>
      <c r="K29" s="252"/>
      <c r="L29" s="2"/>
      <c r="M29" s="2"/>
      <c r="N29" s="2"/>
      <c r="O29" s="2"/>
      <c r="P29" s="2"/>
    </row>
    <row r="30" spans="1:20" hidden="1" x14ac:dyDescent="0.25">
      <c r="B30" s="257"/>
      <c r="C30" s="10" t="s">
        <v>13</v>
      </c>
      <c r="D30" s="29" t="s">
        <v>14</v>
      </c>
      <c r="E30" s="10" t="s">
        <v>13</v>
      </c>
      <c r="F30" s="10" t="s">
        <v>14</v>
      </c>
      <c r="G30" s="20" t="s">
        <v>20</v>
      </c>
      <c r="H30" s="20" t="s">
        <v>21</v>
      </c>
      <c r="I30" s="20" t="s">
        <v>22</v>
      </c>
      <c r="J30" s="22" t="s">
        <v>13</v>
      </c>
      <c r="K30" s="22" t="s">
        <v>14</v>
      </c>
      <c r="L30" s="26" t="s">
        <v>24</v>
      </c>
      <c r="M30" s="22" t="s">
        <v>25</v>
      </c>
      <c r="N30" s="22" t="s">
        <v>20</v>
      </c>
      <c r="O30" s="22" t="s">
        <v>21</v>
      </c>
      <c r="P30" s="22" t="s">
        <v>22</v>
      </c>
      <c r="Q30" s="22" t="s">
        <v>26</v>
      </c>
      <c r="R30" s="22" t="s">
        <v>29</v>
      </c>
      <c r="S30" s="22" t="s">
        <v>30</v>
      </c>
      <c r="T30" s="22" t="s">
        <v>21</v>
      </c>
    </row>
    <row r="31" spans="1:20" hidden="1" x14ac:dyDescent="0.25">
      <c r="B31" s="35" t="s">
        <v>0</v>
      </c>
      <c r="C31" s="12">
        <v>18770</v>
      </c>
      <c r="D31" s="11">
        <f>'Ajuste del Segmento'!R10-Simulación!C31</f>
        <v>80144.927951429752</v>
      </c>
      <c r="E31" s="30">
        <v>4876</v>
      </c>
      <c r="F31" s="31">
        <v>4600.6000000000004</v>
      </c>
      <c r="G31" s="32">
        <f t="shared" ref="G31:G38" si="13">C31*E31</f>
        <v>91522520</v>
      </c>
      <c r="H31" s="16">
        <f>G31/$G$25</f>
        <v>0.20001245874596071</v>
      </c>
      <c r="I31" s="116">
        <f t="shared" ref="I31:I38" si="14">C31/$C$40</f>
        <v>4.5369573059227198E-3</v>
      </c>
      <c r="J31" s="48">
        <f t="shared" ref="J31:J38" si="15">C31*(1+L31)</f>
        <v>37768.993999999999</v>
      </c>
      <c r="K31" s="49">
        <f>(D31+C31)-J31</f>
        <v>61145.933951429754</v>
      </c>
      <c r="L31" s="27">
        <v>1.0122</v>
      </c>
      <c r="M31" s="19">
        <f>(J31+K31)-(C31+D31)</f>
        <v>0</v>
      </c>
      <c r="N31" s="23">
        <f t="shared" ref="N31:N38" si="16">((C31*E31)+((D31-K31)*F31))</f>
        <v>178929291.79640001</v>
      </c>
      <c r="O31" s="58">
        <f>N31/$N$25</f>
        <v>0.21697941309610402</v>
      </c>
      <c r="P31" s="77">
        <f t="shared" ref="P31:P38" si="17">J31/$J$40</f>
        <v>9.1292654909776987E-3</v>
      </c>
      <c r="Q31" s="25">
        <f>J31-C31</f>
        <v>18998.993999999999</v>
      </c>
      <c r="T31" s="4">
        <f>Q31/$Q$25</f>
        <v>8.7137062942066287E-2</v>
      </c>
    </row>
    <row r="32" spans="1:20" hidden="1" x14ac:dyDescent="0.25">
      <c r="B32" s="35" t="s">
        <v>5</v>
      </c>
      <c r="C32" s="13">
        <v>74814</v>
      </c>
      <c r="D32" s="11">
        <v>431034</v>
      </c>
      <c r="E32" s="30">
        <v>2090.21</v>
      </c>
      <c r="F32" s="31">
        <v>1985.47</v>
      </c>
      <c r="G32" s="33">
        <f t="shared" si="13"/>
        <v>156376970.94</v>
      </c>
      <c r="H32" s="16">
        <f t="shared" ref="H32:H38" si="18">G32/$G$25</f>
        <v>0.34174476892632594</v>
      </c>
      <c r="I32" s="116">
        <f t="shared" si="14"/>
        <v>1.8083533504810994E-2</v>
      </c>
      <c r="J32" s="48">
        <f t="shared" si="15"/>
        <v>146635.44</v>
      </c>
      <c r="K32" s="49">
        <f>(D32+C32)-J32</f>
        <v>359212.56</v>
      </c>
      <c r="L32" s="28">
        <v>0.96</v>
      </c>
      <c r="M32" s="19">
        <f>(J32+K32)-(C32+D32)</f>
        <v>0</v>
      </c>
      <c r="N32" s="23">
        <f t="shared" si="16"/>
        <v>298976285.41680002</v>
      </c>
      <c r="O32" s="58">
        <f t="shared" ref="O32:O38" si="19">N32/$N$25</f>
        <v>0.36255494160903928</v>
      </c>
      <c r="P32" s="77">
        <f t="shared" si="17"/>
        <v>3.5443725669429556E-2</v>
      </c>
      <c r="Q32" s="25">
        <f>J32-C32</f>
        <v>71821.440000000002</v>
      </c>
      <c r="T32" s="4">
        <f t="shared" ref="T32:T34" si="20">Q32/$Q$25</f>
        <v>0.32940214296977188</v>
      </c>
    </row>
    <row r="33" spans="2:20" hidden="1" x14ac:dyDescent="0.25">
      <c r="B33" s="35" t="s">
        <v>6</v>
      </c>
      <c r="C33" s="13">
        <v>109355</v>
      </c>
      <c r="D33" s="11">
        <v>341121</v>
      </c>
      <c r="E33" s="30">
        <v>894.89</v>
      </c>
      <c r="F33" s="31">
        <v>829.03</v>
      </c>
      <c r="G33" s="33">
        <f t="shared" si="13"/>
        <v>97860695.950000003</v>
      </c>
      <c r="H33" s="16">
        <f t="shared" si="18"/>
        <v>0.21386384915483511</v>
      </c>
      <c r="I33" s="116">
        <f t="shared" si="14"/>
        <v>2.6432550143270062E-2</v>
      </c>
      <c r="J33" s="48">
        <f t="shared" si="15"/>
        <v>207774.5</v>
      </c>
      <c r="K33" s="49">
        <f>(D33+C33)-J33</f>
        <v>242701.5</v>
      </c>
      <c r="L33" s="28">
        <v>0.9</v>
      </c>
      <c r="M33" s="19">
        <f>(J33+K33)-(C33+D33)</f>
        <v>0</v>
      </c>
      <c r="N33" s="23">
        <f t="shared" si="16"/>
        <v>179453414.035</v>
      </c>
      <c r="O33" s="58">
        <f t="shared" si="19"/>
        <v>0.21761499229378758</v>
      </c>
      <c r="P33" s="77">
        <f t="shared" si="17"/>
        <v>5.0221845272213121E-2</v>
      </c>
      <c r="Q33" s="25">
        <f>J33-C33</f>
        <v>98419.5</v>
      </c>
      <c r="T33" s="4">
        <f t="shared" si="20"/>
        <v>0.45139159295627407</v>
      </c>
    </row>
    <row r="34" spans="2:20" hidden="1" x14ac:dyDescent="0.25">
      <c r="B34" s="51" t="s">
        <v>7</v>
      </c>
      <c r="C34" s="14">
        <v>43679</v>
      </c>
      <c r="D34" s="14">
        <v>75287</v>
      </c>
      <c r="E34" s="52">
        <v>524.5</v>
      </c>
      <c r="F34" s="53">
        <v>732.52</v>
      </c>
      <c r="G34" s="34">
        <f t="shared" si="13"/>
        <v>22909635.5</v>
      </c>
      <c r="H34" s="18">
        <f t="shared" si="18"/>
        <v>5.0066503034758514E-2</v>
      </c>
      <c r="I34" s="117">
        <f t="shared" si="14"/>
        <v>1.0557792123889104E-2</v>
      </c>
      <c r="J34" s="50">
        <f t="shared" si="15"/>
        <v>69886.400000000009</v>
      </c>
      <c r="K34" s="54">
        <f>(D34+C34)-J34</f>
        <v>49079.599999999991</v>
      </c>
      <c r="L34" s="55">
        <v>0.6</v>
      </c>
      <c r="M34" s="56">
        <f>(J34+K34)-(C34+D34)</f>
        <v>0</v>
      </c>
      <c r="N34" s="24">
        <f t="shared" si="16"/>
        <v>42107080.148000002</v>
      </c>
      <c r="O34" s="59">
        <f t="shared" si="19"/>
        <v>5.1061340745146087E-2</v>
      </c>
      <c r="P34" s="78">
        <f t="shared" si="17"/>
        <v>1.6892467398222571E-2</v>
      </c>
      <c r="Q34" s="57">
        <f>J34-C34</f>
        <v>26207.400000000009</v>
      </c>
      <c r="R34" s="5"/>
      <c r="S34" s="5"/>
      <c r="T34" s="6">
        <f t="shared" si="20"/>
        <v>0.12019772538208649</v>
      </c>
    </row>
    <row r="35" spans="2:20" hidden="1" x14ac:dyDescent="0.25">
      <c r="B35" s="2" t="s">
        <v>8</v>
      </c>
      <c r="C35" s="13">
        <v>951419</v>
      </c>
      <c r="D35" s="11"/>
      <c r="E35" s="30">
        <v>183.19</v>
      </c>
      <c r="F35" s="31"/>
      <c r="G35" s="33">
        <f t="shared" si="13"/>
        <v>174290446.60999998</v>
      </c>
      <c r="H35" s="16">
        <f t="shared" si="18"/>
        <v>0.38089271102235484</v>
      </c>
      <c r="I35" s="116">
        <f t="shared" si="14"/>
        <v>0.22997055849993012</v>
      </c>
      <c r="J35" s="48">
        <f t="shared" si="15"/>
        <v>951419</v>
      </c>
      <c r="K35" s="49"/>
      <c r="L35" s="28">
        <v>0</v>
      </c>
      <c r="M35" s="19"/>
      <c r="N35" s="23">
        <f t="shared" si="16"/>
        <v>174290446.60999998</v>
      </c>
      <c r="O35" s="58">
        <f t="shared" si="19"/>
        <v>0.21135409654852569</v>
      </c>
      <c r="P35" s="77">
        <f t="shared" si="17"/>
        <v>0.22997055849993014</v>
      </c>
      <c r="Q35" s="25"/>
    </row>
    <row r="36" spans="2:20" hidden="1" x14ac:dyDescent="0.25">
      <c r="B36" s="2" t="s">
        <v>9</v>
      </c>
      <c r="C36" s="13">
        <v>1136728</v>
      </c>
      <c r="D36" s="11"/>
      <c r="E36" s="30">
        <v>10.53</v>
      </c>
      <c r="F36" s="31"/>
      <c r="G36" s="33">
        <f t="shared" si="13"/>
        <v>11969745.84</v>
      </c>
      <c r="H36" s="16">
        <f t="shared" si="18"/>
        <v>2.6158570546600278E-2</v>
      </c>
      <c r="I36" s="116">
        <f t="shared" si="14"/>
        <v>0.27476219522892498</v>
      </c>
      <c r="J36" s="48">
        <f t="shared" si="15"/>
        <v>1136728</v>
      </c>
      <c r="K36" s="49"/>
      <c r="L36" s="28">
        <v>0</v>
      </c>
      <c r="M36" s="19"/>
      <c r="N36" s="23">
        <f t="shared" si="16"/>
        <v>11969745.84</v>
      </c>
      <c r="O36" s="58">
        <f t="shared" si="19"/>
        <v>1.4515166305067705E-2</v>
      </c>
      <c r="P36" s="77">
        <f t="shared" si="17"/>
        <v>0.27476219522892498</v>
      </c>
      <c r="Q36" s="25"/>
    </row>
    <row r="37" spans="2:20" hidden="1" x14ac:dyDescent="0.25">
      <c r="B37" s="2" t="s">
        <v>17</v>
      </c>
      <c r="C37" s="13">
        <v>410934</v>
      </c>
      <c r="D37" s="11"/>
      <c r="E37" s="30">
        <v>-189.47</v>
      </c>
      <c r="F37" s="31"/>
      <c r="G37" s="33">
        <f t="shared" si="13"/>
        <v>-77859664.980000004</v>
      </c>
      <c r="H37" s="16">
        <f t="shared" si="18"/>
        <v>-0.17015378324139865</v>
      </c>
      <c r="I37" s="116">
        <f t="shared" si="14"/>
        <v>9.9328183993183106E-2</v>
      </c>
      <c r="J37" s="48">
        <f t="shared" si="15"/>
        <v>410934</v>
      </c>
      <c r="K37" s="49"/>
      <c r="L37" s="28">
        <v>0</v>
      </c>
      <c r="M37" s="19"/>
      <c r="N37" s="23">
        <f t="shared" si="16"/>
        <v>-77859664.980000004</v>
      </c>
      <c r="O37" s="58">
        <f t="shared" si="19"/>
        <v>-9.441687407136759E-2</v>
      </c>
      <c r="P37" s="77">
        <f t="shared" si="17"/>
        <v>9.932818399318312E-2</v>
      </c>
      <c r="Q37" s="25"/>
    </row>
    <row r="38" spans="2:20" hidden="1" x14ac:dyDescent="0.25">
      <c r="B38" s="21" t="s">
        <v>18</v>
      </c>
      <c r="C38" s="14">
        <v>463848</v>
      </c>
      <c r="D38" s="21"/>
      <c r="E38" s="52">
        <v>-42.01</v>
      </c>
      <c r="F38" s="21"/>
      <c r="G38" s="34">
        <f t="shared" si="13"/>
        <v>-19486254.48</v>
      </c>
      <c r="H38" s="18">
        <f t="shared" si="18"/>
        <v>-4.2585078189436784E-2</v>
      </c>
      <c r="I38" s="117">
        <f t="shared" si="14"/>
        <v>0.11211819778570281</v>
      </c>
      <c r="J38" s="50">
        <f t="shared" si="15"/>
        <v>463848</v>
      </c>
      <c r="K38" s="54"/>
      <c r="L38" s="55">
        <v>0</v>
      </c>
      <c r="M38" s="56"/>
      <c r="N38" s="24">
        <f t="shared" si="16"/>
        <v>-19486254.48</v>
      </c>
      <c r="O38" s="59">
        <f t="shared" si="19"/>
        <v>-2.363009442480114E-2</v>
      </c>
      <c r="P38" s="78">
        <f t="shared" si="17"/>
        <v>0.11211819778570283</v>
      </c>
      <c r="Q38" s="57"/>
    </row>
    <row r="39" spans="2:20" hidden="1" x14ac:dyDescent="0.25">
      <c r="B39" s="35" t="s">
        <v>46</v>
      </c>
      <c r="C39" s="49">
        <f>SUM(C31:C38)</f>
        <v>3209547</v>
      </c>
      <c r="D39" s="49">
        <f>SUM(D31:D38)</f>
        <v>927586.92795142974</v>
      </c>
      <c r="E39" s="35"/>
      <c r="F39" s="35"/>
      <c r="G39" s="60">
        <f>SUM(G31:G38)</f>
        <v>457584095.38</v>
      </c>
      <c r="H39" s="61">
        <f>SUM(H31:H38)</f>
        <v>1</v>
      </c>
      <c r="I39" s="35"/>
      <c r="J39" s="48">
        <f>SUM(J31:J38)</f>
        <v>3424994.3339999998</v>
      </c>
      <c r="K39" s="48">
        <f>SUM(K31:K38)</f>
        <v>712139.59395142971</v>
      </c>
      <c r="L39" s="35"/>
      <c r="M39" s="35"/>
      <c r="N39" s="62">
        <f>SUM(N31:N38)</f>
        <v>788380344.38620007</v>
      </c>
      <c r="O39" s="35"/>
      <c r="P39" s="35"/>
      <c r="Q39" s="65">
        <f>SUM(Q31:Q38)</f>
        <v>215447.33400000003</v>
      </c>
    </row>
    <row r="40" spans="2:20" hidden="1" x14ac:dyDescent="0.25">
      <c r="B40" s="63" t="s">
        <v>47</v>
      </c>
      <c r="C40" s="64">
        <f>C39+D39</f>
        <v>4137133.92795143</v>
      </c>
      <c r="J40" s="64">
        <f>J39+K39</f>
        <v>4137133.9279514295</v>
      </c>
    </row>
    <row r="41" spans="2:20" x14ac:dyDescent="0.25">
      <c r="B41" s="63"/>
      <c r="C41" s="179"/>
      <c r="J41" s="179"/>
    </row>
    <row r="42" spans="2:20" x14ac:dyDescent="0.25">
      <c r="B42" s="63"/>
      <c r="C42" s="252" t="s">
        <v>15</v>
      </c>
      <c r="D42" s="252"/>
      <c r="J42" s="179"/>
    </row>
    <row r="43" spans="2:20" x14ac:dyDescent="0.25">
      <c r="C43" s="170" t="s">
        <v>13</v>
      </c>
      <c r="D43" s="29" t="s">
        <v>14</v>
      </c>
      <c r="E43" s="21" t="s">
        <v>21</v>
      </c>
    </row>
    <row r="44" spans="2:20" x14ac:dyDescent="0.25">
      <c r="B44" s="35" t="s">
        <v>0</v>
      </c>
      <c r="C44" s="12">
        <v>18770</v>
      </c>
      <c r="D44" s="11">
        <v>86497</v>
      </c>
      <c r="E44" s="16">
        <f>C44/$C$48</f>
        <v>7.6109610815106768E-2</v>
      </c>
      <c r="F44" s="161"/>
    </row>
    <row r="45" spans="2:20" x14ac:dyDescent="0.25">
      <c r="B45" s="35" t="s">
        <v>5</v>
      </c>
      <c r="C45" s="13">
        <v>74814</v>
      </c>
      <c r="D45" s="11">
        <v>431034</v>
      </c>
      <c r="E45" s="16">
        <f t="shared" ref="E45:E47" si="21">C45/$C$48</f>
        <v>0.30335985207892369</v>
      </c>
    </row>
    <row r="46" spans="2:20" x14ac:dyDescent="0.25">
      <c r="B46" s="35" t="s">
        <v>6</v>
      </c>
      <c r="C46" s="13">
        <v>109355</v>
      </c>
      <c r="D46" s="11">
        <v>341121</v>
      </c>
      <c r="E46" s="16">
        <f t="shared" si="21"/>
        <v>0.44341856636579652</v>
      </c>
    </row>
    <row r="47" spans="2:20" x14ac:dyDescent="0.25">
      <c r="B47" s="51" t="s">
        <v>7</v>
      </c>
      <c r="C47" s="14">
        <v>43679</v>
      </c>
      <c r="D47" s="14">
        <v>75287</v>
      </c>
      <c r="E47" s="18">
        <f t="shared" si="21"/>
        <v>0.17711197074017307</v>
      </c>
    </row>
    <row r="48" spans="2:20" x14ac:dyDescent="0.25">
      <c r="C48" s="19">
        <f>SUM(C44:C47)</f>
        <v>246618</v>
      </c>
    </row>
  </sheetData>
  <mergeCells count="17">
    <mergeCell ref="J29:K29"/>
    <mergeCell ref="C42:D42"/>
    <mergeCell ref="J15:K15"/>
    <mergeCell ref="B15:B16"/>
    <mergeCell ref="B28:I28"/>
    <mergeCell ref="J28:T28"/>
    <mergeCell ref="B29:B30"/>
    <mergeCell ref="C29:D29"/>
    <mergeCell ref="E29:F29"/>
    <mergeCell ref="G29:H29"/>
    <mergeCell ref="J14:R14"/>
    <mergeCell ref="C2:E2"/>
    <mergeCell ref="F2:H2"/>
    <mergeCell ref="C15:D15"/>
    <mergeCell ref="E15:F15"/>
    <mergeCell ref="G15:H15"/>
    <mergeCell ref="B14:I14"/>
  </mergeCells>
  <conditionalFormatting sqref="O17:O24 H17:H24">
    <cfRule type="cellIs" dxfId="3" priority="3" operator="lessThan">
      <formula>0</formula>
    </cfRule>
    <cfRule type="cellIs" dxfId="2" priority="4" operator="greaterThan">
      <formula>0</formula>
    </cfRule>
  </conditionalFormatting>
  <conditionalFormatting sqref="O31:O38 H31:H38">
    <cfRule type="cellIs" dxfId="1" priority="1" operator="lessThan">
      <formula>0</formula>
    </cfRule>
    <cfRule type="cellIs" dxfId="0" priority="2" operator="greaterThan">
      <formula>0</formula>
    </cfRule>
  </conditionalFormatting>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59"/>
  <sheetViews>
    <sheetView workbookViewId="0">
      <selection activeCell="D29" sqref="D29"/>
    </sheetView>
  </sheetViews>
  <sheetFormatPr baseColWidth="10" defaultRowHeight="12.75" x14ac:dyDescent="0.2"/>
  <cols>
    <col min="1" max="1" width="11.42578125" style="2"/>
    <col min="2" max="2" width="25" style="2" bestFit="1" customWidth="1"/>
    <col min="3" max="4" width="25" style="2" customWidth="1"/>
    <col min="5" max="5" width="22.5703125" style="2" bestFit="1" customWidth="1"/>
    <col min="6" max="7" width="22.5703125" style="2" customWidth="1"/>
    <col min="8" max="16384" width="11.42578125" style="2"/>
  </cols>
  <sheetData>
    <row r="4" spans="2:9" ht="15" customHeight="1" x14ac:dyDescent="0.2">
      <c r="C4" s="258" t="s">
        <v>33</v>
      </c>
      <c r="D4" s="258"/>
      <c r="E4" s="258"/>
      <c r="F4" s="258"/>
      <c r="G4" s="258"/>
    </row>
    <row r="5" spans="2:9" x14ac:dyDescent="0.2">
      <c r="B5" s="21"/>
      <c r="C5" s="1">
        <v>2017</v>
      </c>
      <c r="D5" s="1">
        <v>2018</v>
      </c>
      <c r="E5" s="1">
        <v>2019</v>
      </c>
      <c r="F5" s="1" t="s">
        <v>68</v>
      </c>
      <c r="G5" s="1" t="s">
        <v>69</v>
      </c>
    </row>
    <row r="6" spans="2:9" x14ac:dyDescent="0.2">
      <c r="C6" s="108"/>
      <c r="F6" s="83"/>
      <c r="G6" s="83"/>
    </row>
    <row r="7" spans="2:9" x14ac:dyDescent="0.2">
      <c r="B7" s="2" t="s">
        <v>32</v>
      </c>
      <c r="C7" s="108">
        <v>13589476</v>
      </c>
      <c r="D7" s="84">
        <v>22097772</v>
      </c>
      <c r="E7" s="85">
        <v>23645683</v>
      </c>
      <c r="F7" s="108">
        <f>E7*(1.35)</f>
        <v>31921672.050000001</v>
      </c>
      <c r="G7" s="108">
        <f>F7*(1.3)</f>
        <v>41498173.664999999</v>
      </c>
    </row>
    <row r="8" spans="2:9" x14ac:dyDescent="0.2">
      <c r="B8" s="2" t="s">
        <v>34</v>
      </c>
      <c r="C8" s="108">
        <v>1624437</v>
      </c>
      <c r="D8" s="84">
        <v>-3501425</v>
      </c>
      <c r="E8" s="86">
        <v>-1435893</v>
      </c>
      <c r="F8" s="110">
        <f>E8-(E8*0.2)</f>
        <v>-1148714.3999999999</v>
      </c>
      <c r="G8" s="110">
        <f>F8-(F8*0.05)</f>
        <v>-1091278.68</v>
      </c>
    </row>
    <row r="9" spans="2:9" x14ac:dyDescent="0.2">
      <c r="B9" s="2" t="s">
        <v>37</v>
      </c>
      <c r="C9" s="108">
        <v>-799712</v>
      </c>
      <c r="D9" s="84">
        <v>-1781670</v>
      </c>
      <c r="E9" s="86">
        <v>-2722794</v>
      </c>
      <c r="F9" s="110">
        <f>E9-(E9*0.1)</f>
        <v>-2450514.6</v>
      </c>
      <c r="G9" s="110">
        <f>F9+(F9*0.2)</f>
        <v>-2940617.52</v>
      </c>
    </row>
    <row r="10" spans="2:9" x14ac:dyDescent="0.2">
      <c r="B10" s="2" t="s">
        <v>38</v>
      </c>
      <c r="C10" s="108">
        <v>1212584</v>
      </c>
      <c r="D10" s="84">
        <v>2988152</v>
      </c>
      <c r="E10" s="85">
        <v>2596551</v>
      </c>
      <c r="F10" s="108">
        <f>E10*(1.4)</f>
        <v>3635171.4</v>
      </c>
      <c r="G10" s="108">
        <f>F10*(1.4)</f>
        <v>5089239.96</v>
      </c>
    </row>
    <row r="11" spans="2:9" x14ac:dyDescent="0.2">
      <c r="B11" s="21" t="s">
        <v>39</v>
      </c>
      <c r="C11" s="107">
        <v>-5609042</v>
      </c>
      <c r="D11" s="81">
        <v>-8057063</v>
      </c>
      <c r="E11" s="82">
        <v>-12740637</v>
      </c>
      <c r="F11" s="121">
        <f>E11*(1.45)</f>
        <v>-18473923.649999999</v>
      </c>
      <c r="G11" s="121">
        <f>F11*(1.45)</f>
        <v>-26787189.292499997</v>
      </c>
    </row>
    <row r="12" spans="2:9" x14ac:dyDescent="0.2">
      <c r="B12" s="35" t="s">
        <v>40</v>
      </c>
      <c r="C12" s="87">
        <f>SUM(C7:C11)</f>
        <v>10017743</v>
      </c>
      <c r="D12" s="87">
        <f>SUM(D7:D11)</f>
        <v>11745766</v>
      </c>
      <c r="E12" s="87">
        <f>SUM(E7:E11)</f>
        <v>9342910</v>
      </c>
      <c r="F12" s="87">
        <f t="shared" ref="F12:G12" si="0">SUM(F7:F11)</f>
        <v>13483690.800000001</v>
      </c>
      <c r="G12" s="87">
        <f t="shared" si="0"/>
        <v>15768328.1325</v>
      </c>
    </row>
    <row r="13" spans="2:9" x14ac:dyDescent="0.2">
      <c r="D13" s="84"/>
      <c r="E13" s="85"/>
      <c r="F13" s="85"/>
      <c r="G13" s="85"/>
    </row>
    <row r="14" spans="2:9" x14ac:dyDescent="0.2">
      <c r="B14" s="88" t="s">
        <v>41</v>
      </c>
      <c r="C14" s="89">
        <f>C7+C10</f>
        <v>14802060</v>
      </c>
      <c r="D14" s="89">
        <f>D7+D10</f>
        <v>25085924</v>
      </c>
      <c r="E14" s="89">
        <f>E7+E10</f>
        <v>26242234</v>
      </c>
      <c r="F14" s="89">
        <f t="shared" ref="F14:G14" si="1">F7+F10</f>
        <v>35556843.450000003</v>
      </c>
      <c r="G14" s="89">
        <f t="shared" si="1"/>
        <v>46587413.625</v>
      </c>
    </row>
    <row r="15" spans="2:9" x14ac:dyDescent="0.2">
      <c r="B15" s="88" t="s">
        <v>42</v>
      </c>
      <c r="C15" s="90">
        <f>C8+C9+C11</f>
        <v>-4784317</v>
      </c>
      <c r="D15" s="90">
        <f>D8+D9+D11</f>
        <v>-13340158</v>
      </c>
      <c r="E15" s="90">
        <f>E8+E9+E11</f>
        <v>-16899324</v>
      </c>
      <c r="F15" s="90">
        <f t="shared" ref="F15:G15" si="2">F8+F9+F11</f>
        <v>-22073152.649999999</v>
      </c>
      <c r="G15" s="90">
        <f t="shared" si="2"/>
        <v>-30819085.492499996</v>
      </c>
    </row>
    <row r="16" spans="2:9" ht="13.5" thickBot="1" x14ac:dyDescent="0.25">
      <c r="B16" s="91" t="s">
        <v>31</v>
      </c>
      <c r="C16" s="106">
        <v>-2275389</v>
      </c>
      <c r="D16" s="92">
        <v>-1752675</v>
      </c>
      <c r="E16" s="93">
        <v>-4516337</v>
      </c>
      <c r="F16" s="109">
        <f>E16-(E16*0.4)</f>
        <v>-2709802.2</v>
      </c>
      <c r="G16" s="122">
        <f>F16-(F16*0.1)</f>
        <v>-2438821.98</v>
      </c>
      <c r="H16" s="73"/>
      <c r="I16" s="104"/>
    </row>
    <row r="17" spans="2:9" x14ac:dyDescent="0.2">
      <c r="B17" s="98" t="s">
        <v>35</v>
      </c>
      <c r="C17" s="94">
        <f>(C14+C15)/-C15</f>
        <v>2.0938710791947943</v>
      </c>
      <c r="D17" s="94">
        <f>(D14+D15)/-D15</f>
        <v>0.88048177540325989</v>
      </c>
      <c r="E17" s="94">
        <f>(E14+E15)/-E15</f>
        <v>0.55285702552362448</v>
      </c>
      <c r="F17" s="94">
        <f t="shared" ref="F17:G17" si="3">(F14+F15)/-F15</f>
        <v>0.610863840512606</v>
      </c>
      <c r="G17" s="94">
        <f t="shared" si="3"/>
        <v>0.51164166231789454</v>
      </c>
    </row>
    <row r="18" spans="2:9" x14ac:dyDescent="0.2">
      <c r="B18" s="99" t="s">
        <v>36</v>
      </c>
      <c r="C18" s="95">
        <f>(C14*C17)+C16</f>
        <v>28718216.346506096</v>
      </c>
      <c r="D18" s="95">
        <f>(D14*D17)+D16</f>
        <v>20335023.901151247</v>
      </c>
      <c r="E18" s="95">
        <f>(E14*E17)+E16</f>
        <v>9991866.432334926</v>
      </c>
      <c r="F18" s="111">
        <f t="shared" ref="F18:G18" si="4">(F14*F17)+F16</f>
        <v>19010587.746372502</v>
      </c>
      <c r="G18" s="111">
        <f t="shared" si="4"/>
        <v>21397239.770186327</v>
      </c>
    </row>
    <row r="19" spans="2:9" x14ac:dyDescent="0.2">
      <c r="B19" s="100" t="s">
        <v>44</v>
      </c>
      <c r="C19" s="96">
        <f>C18/(C14*100%)</f>
        <v>1.9401499755105773</v>
      </c>
      <c r="D19" s="96">
        <f>D18/(D14*100%)</f>
        <v>0.81061490504201672</v>
      </c>
      <c r="E19" s="96">
        <f>E18/(E14*100%)</f>
        <v>0.38075517626795519</v>
      </c>
      <c r="F19" s="96">
        <f t="shared" ref="F19:G19" si="5">F18/(F14*100%)</f>
        <v>0.53465341413405187</v>
      </c>
      <c r="G19" s="96">
        <f t="shared" si="5"/>
        <v>0.45929228744958744</v>
      </c>
    </row>
    <row r="20" spans="2:9" ht="13.5" thickBot="1" x14ac:dyDescent="0.25">
      <c r="B20" s="101" t="s">
        <v>45</v>
      </c>
      <c r="C20" s="97">
        <f>C18/(-C16*100%)</f>
        <v>12.621233708392761</v>
      </c>
      <c r="D20" s="97">
        <f>D18/(-D16*100%)</f>
        <v>11.60227874600325</v>
      </c>
      <c r="E20" s="97">
        <f>E18/(-E16*100%)</f>
        <v>2.2123828297877077</v>
      </c>
      <c r="F20" s="97">
        <f t="shared" ref="F20:G20" si="6">F18/(-F16*100%)</f>
        <v>7.0154890812224231</v>
      </c>
      <c r="G20" s="97">
        <f t="shared" si="6"/>
        <v>8.7735964107500486</v>
      </c>
    </row>
    <row r="21" spans="2:9" x14ac:dyDescent="0.2">
      <c r="F21" s="80"/>
      <c r="G21" s="80"/>
    </row>
    <row r="22" spans="2:9" x14ac:dyDescent="0.2">
      <c r="E22" s="79"/>
    </row>
    <row r="23" spans="2:9" x14ac:dyDescent="0.2">
      <c r="B23" s="124"/>
      <c r="C23" s="38">
        <f>E8/E7</f>
        <v>-6.0725376382657251E-2</v>
      </c>
      <c r="D23" s="125"/>
      <c r="E23" s="125"/>
      <c r="F23" s="124"/>
      <c r="G23" s="124"/>
    </row>
    <row r="24" spans="2:9" x14ac:dyDescent="0.2">
      <c r="B24" s="124"/>
      <c r="C24" s="133">
        <f>E16/E15</f>
        <v>0.26724956572227387</v>
      </c>
      <c r="D24" s="127" t="s">
        <v>0</v>
      </c>
      <c r="E24" s="128">
        <f>Simulación!G17</f>
        <v>91522520</v>
      </c>
      <c r="F24" s="128">
        <f>E24*(1+'Evolución Ventas Logros'!D43)</f>
        <v>137336024.10691541</v>
      </c>
      <c r="G24" s="128">
        <f>F24*(1+'Evolución Ventas Logros'!D44)</f>
        <v>201286558.80693629</v>
      </c>
    </row>
    <row r="25" spans="2:9" x14ac:dyDescent="0.2">
      <c r="B25" s="124"/>
      <c r="C25" s="133">
        <f>E11/E7</f>
        <v>-0.5388145058021796</v>
      </c>
      <c r="D25" s="127" t="s">
        <v>5</v>
      </c>
      <c r="E25" s="128">
        <f>Simulación!G18</f>
        <v>156376970.94</v>
      </c>
      <c r="F25" s="128">
        <f>E25*(1+Simulación!L18)</f>
        <v>306498863.0424</v>
      </c>
      <c r="G25" s="128">
        <f>F25*(1+H25)</f>
        <v>490398180.86784005</v>
      </c>
      <c r="H25" s="80">
        <v>0.6</v>
      </c>
      <c r="I25" s="80"/>
    </row>
    <row r="26" spans="2:9" x14ac:dyDescent="0.2">
      <c r="B26" s="104"/>
      <c r="C26" s="104"/>
      <c r="D26" s="127" t="s">
        <v>6</v>
      </c>
      <c r="E26" s="128">
        <f>Simulación!G19</f>
        <v>97860695.950000003</v>
      </c>
      <c r="F26" s="128">
        <f>E26*(1+Simulación!L19)</f>
        <v>176149252.71000001</v>
      </c>
      <c r="G26" s="128">
        <f t="shared" ref="G26:G31" si="7">F26*(1+H26)</f>
        <v>273031341.70050001</v>
      </c>
      <c r="H26" s="80">
        <v>0.55000000000000004</v>
      </c>
    </row>
    <row r="27" spans="2:9" x14ac:dyDescent="0.2">
      <c r="B27" s="104"/>
      <c r="C27" s="104">
        <f>E10/E7</f>
        <v>0.10981078448865275</v>
      </c>
      <c r="D27" s="129" t="s">
        <v>7</v>
      </c>
      <c r="E27" s="128">
        <f>Simulación!G20</f>
        <v>22909635.5</v>
      </c>
      <c r="F27" s="128">
        <f>E27*(1+Simulación!L20)</f>
        <v>38946380.350000001</v>
      </c>
      <c r="G27" s="128">
        <f t="shared" si="7"/>
        <v>50630294.455000006</v>
      </c>
      <c r="H27" s="80">
        <v>0.3</v>
      </c>
    </row>
    <row r="28" spans="2:9" x14ac:dyDescent="0.2">
      <c r="B28" s="104"/>
      <c r="C28" s="104"/>
      <c r="D28" s="130" t="s">
        <v>8</v>
      </c>
      <c r="E28" s="128">
        <f>Simulación!G21</f>
        <v>174290446.60999998</v>
      </c>
      <c r="F28" s="128">
        <f>E28*(1+Simulación!L21)</f>
        <v>191719491.271</v>
      </c>
      <c r="G28" s="128">
        <f t="shared" si="7"/>
        <v>230063389.52519998</v>
      </c>
      <c r="H28" s="80">
        <v>0.2</v>
      </c>
    </row>
    <row r="29" spans="2:9" x14ac:dyDescent="0.2">
      <c r="B29" s="105"/>
      <c r="C29" s="105"/>
      <c r="D29" s="130" t="s">
        <v>9</v>
      </c>
      <c r="E29" s="128">
        <f>Simulación!G22</f>
        <v>11969745.84</v>
      </c>
      <c r="F29" s="128">
        <f>E29*(1+Simulación!L22)</f>
        <v>13166720.424000001</v>
      </c>
      <c r="G29" s="128">
        <f t="shared" si="7"/>
        <v>15800064.5088</v>
      </c>
      <c r="H29" s="80">
        <v>0.2</v>
      </c>
    </row>
    <row r="30" spans="2:9" x14ac:dyDescent="0.2">
      <c r="B30" s="104"/>
      <c r="C30" s="104"/>
      <c r="D30" s="130" t="s">
        <v>17</v>
      </c>
      <c r="E30" s="128">
        <f>Simulación!G23</f>
        <v>-77859664.980000004</v>
      </c>
      <c r="F30" s="128">
        <f>E30*(1+Simulación!L23)</f>
        <v>-93431597.975999996</v>
      </c>
      <c r="G30" s="128">
        <f t="shared" si="7"/>
        <v>-112117917.5712</v>
      </c>
      <c r="H30" s="80">
        <v>0.2</v>
      </c>
    </row>
    <row r="31" spans="2:9" x14ac:dyDescent="0.2">
      <c r="B31" s="104"/>
      <c r="C31" s="104"/>
      <c r="D31" s="131" t="s">
        <v>18</v>
      </c>
      <c r="E31" s="132">
        <f>Simulación!G24</f>
        <v>-19486254.48</v>
      </c>
      <c r="F31" s="132">
        <f>E31*(1+Simulación!L24)</f>
        <v>-23383505.375999998</v>
      </c>
      <c r="G31" s="132">
        <f t="shared" si="7"/>
        <v>-28060206.451199997</v>
      </c>
      <c r="H31" s="80">
        <v>0.2</v>
      </c>
    </row>
    <row r="32" spans="2:9" x14ac:dyDescent="0.2">
      <c r="B32" s="104"/>
      <c r="C32" s="104"/>
      <c r="D32" s="2" t="s">
        <v>32</v>
      </c>
      <c r="E32" s="126">
        <f>SUM(E24:E31)</f>
        <v>457584095.38</v>
      </c>
      <c r="F32" s="126">
        <f t="shared" ref="F32:G32" si="8">SUM(F24:F31)</f>
        <v>747001628.55231547</v>
      </c>
      <c r="G32" s="126">
        <f t="shared" si="8"/>
        <v>1121031705.8418765</v>
      </c>
    </row>
    <row r="33" spans="2:7" x14ac:dyDescent="0.2">
      <c r="B33" s="104"/>
      <c r="C33" s="38">
        <f>E33/$E$39</f>
        <v>-5.4694539556676879E-2</v>
      </c>
      <c r="D33" s="2" t="s">
        <v>34</v>
      </c>
      <c r="E33" s="86">
        <f>-E32*6.07%</f>
        <v>-27775354.589566</v>
      </c>
      <c r="F33" s="110">
        <f>E33-(E33*0.2)</f>
        <v>-22220283.671652801</v>
      </c>
      <c r="G33" s="110">
        <f>F33-(F33*0.05)</f>
        <v>-21109269.48807016</v>
      </c>
    </row>
    <row r="34" spans="2:7" x14ac:dyDescent="0.2">
      <c r="B34" s="104"/>
      <c r="C34" s="38">
        <f t="shared" ref="C34:C36" si="9">E34/$E$39</f>
        <v>-0.10812759055685708</v>
      </c>
      <c r="D34" s="2" t="s">
        <v>37</v>
      </c>
      <c r="E34" s="86">
        <f>-E32*12%</f>
        <v>-54910091.445599996</v>
      </c>
      <c r="F34" s="110">
        <f>E34-(E34*0.1)</f>
        <v>-49419082.301039994</v>
      </c>
      <c r="G34" s="110">
        <f>F34+(F34*0.2)</f>
        <v>-59302898.761247993</v>
      </c>
    </row>
    <row r="35" spans="2:7" x14ac:dyDescent="0.2">
      <c r="B35" s="104"/>
      <c r="C35" s="38"/>
      <c r="D35" s="2" t="s">
        <v>38</v>
      </c>
      <c r="E35" s="85">
        <f>E32*10.98%</f>
        <v>50242733.672724001</v>
      </c>
      <c r="F35" s="108">
        <f>E35*(1.4)</f>
        <v>70339827.141813591</v>
      </c>
      <c r="G35" s="108">
        <f>F35*(1.4)</f>
        <v>98475757.998539016</v>
      </c>
    </row>
    <row r="36" spans="2:7" x14ac:dyDescent="0.2">
      <c r="B36" s="104"/>
      <c r="C36" s="38">
        <f t="shared" si="9"/>
        <v>-0.48657415750585697</v>
      </c>
      <c r="D36" s="21" t="s">
        <v>39</v>
      </c>
      <c r="E36" s="82">
        <f>-E32*54%</f>
        <v>-247095411.50520003</v>
      </c>
      <c r="F36" s="121">
        <f>E36*(1.45)</f>
        <v>-358288346.68254006</v>
      </c>
      <c r="G36" s="121">
        <f>F36*(1.45)</f>
        <v>-519518102.68968308</v>
      </c>
    </row>
    <row r="37" spans="2:7" x14ac:dyDescent="0.2">
      <c r="B37" s="105"/>
      <c r="C37" s="105"/>
      <c r="D37" s="35" t="s">
        <v>40</v>
      </c>
      <c r="E37" s="87">
        <f>SUM(E32:E36)</f>
        <v>178045971.51235801</v>
      </c>
      <c r="F37" s="87">
        <f t="shared" ref="F37:G37" si="10">SUM(F32:F36)</f>
        <v>387413743.03889632</v>
      </c>
      <c r="G37" s="87">
        <f t="shared" si="10"/>
        <v>619577192.90141428</v>
      </c>
    </row>
    <row r="38" spans="2:7" x14ac:dyDescent="0.2">
      <c r="B38" s="105"/>
      <c r="C38" s="105"/>
      <c r="E38" s="85"/>
      <c r="F38" s="85"/>
      <c r="G38" s="85"/>
    </row>
    <row r="39" spans="2:7" x14ac:dyDescent="0.2">
      <c r="B39" s="105"/>
      <c r="C39" s="105"/>
      <c r="D39" s="88" t="s">
        <v>41</v>
      </c>
      <c r="E39" s="89">
        <f>E32+E35</f>
        <v>507826829.052724</v>
      </c>
      <c r="F39" s="89">
        <f t="shared" ref="F39:G39" si="11">F32+F35</f>
        <v>817341455.69412911</v>
      </c>
      <c r="G39" s="89">
        <f t="shared" si="11"/>
        <v>1219507463.8404155</v>
      </c>
    </row>
    <row r="40" spans="2:7" x14ac:dyDescent="0.2">
      <c r="B40" s="105"/>
      <c r="C40" s="105"/>
      <c r="D40" s="88" t="s">
        <v>42</v>
      </c>
      <c r="E40" s="90">
        <f>E33+E34+E36</f>
        <v>-329780857.54036605</v>
      </c>
      <c r="F40" s="90">
        <f t="shared" ref="F40:G40" si="12">F33+F34+F36</f>
        <v>-429927712.65523285</v>
      </c>
      <c r="G40" s="90">
        <f t="shared" si="12"/>
        <v>-599930270.9390012</v>
      </c>
    </row>
    <row r="41" spans="2:7" ht="13.5" thickBot="1" x14ac:dyDescent="0.25">
      <c r="B41" s="104"/>
      <c r="C41" s="104"/>
      <c r="D41" s="91" t="s">
        <v>31</v>
      </c>
      <c r="E41" s="93">
        <f>E40*33%</f>
        <v>-108827682.9883208</v>
      </c>
      <c r="F41" s="109">
        <f>E41-(E41*0.4)</f>
        <v>-65296609.792992473</v>
      </c>
      <c r="G41" s="122">
        <f>F41-(F41*0.1)</f>
        <v>-58766948.813693225</v>
      </c>
    </row>
    <row r="42" spans="2:7" x14ac:dyDescent="0.2">
      <c r="B42" s="104"/>
      <c r="C42" s="104"/>
      <c r="D42" s="98" t="s">
        <v>35</v>
      </c>
      <c r="E42" s="94">
        <f>(E39+E40)/-E40</f>
        <v>0.53989177188844151</v>
      </c>
      <c r="F42" s="94">
        <f t="shared" ref="F42:G42" si="13">(F39+F40)/-F40</f>
        <v>0.90111367942817555</v>
      </c>
      <c r="G42" s="94">
        <f t="shared" si="13"/>
        <v>1.032748675828046</v>
      </c>
    </row>
    <row r="43" spans="2:7" x14ac:dyDescent="0.2">
      <c r="B43" s="104"/>
      <c r="C43" s="104"/>
      <c r="D43" s="99" t="s">
        <v>36</v>
      </c>
      <c r="E43" s="95">
        <f>(E39*E42)+E41</f>
        <v>165343843.56144306</v>
      </c>
      <c r="F43" s="111">
        <f t="shared" ref="F43:G43" si="14">(F39*F42)+F41</f>
        <v>671220956.69672537</v>
      </c>
      <c r="G43" s="111">
        <f t="shared" si="14"/>
        <v>1200677769.6299145</v>
      </c>
    </row>
    <row r="44" spans="2:7" x14ac:dyDescent="0.2">
      <c r="B44" s="104"/>
      <c r="C44" s="104"/>
      <c r="D44" s="100" t="s">
        <v>44</v>
      </c>
      <c r="E44" s="96">
        <f>E43/(E39*100%)</f>
        <v>0.32559099697404248</v>
      </c>
      <c r="F44" s="96">
        <f t="shared" ref="F44:G44" si="15">F43/(F39*100%)</f>
        <v>0.82122465711309045</v>
      </c>
      <c r="G44" s="96">
        <f t="shared" si="15"/>
        <v>0.98455959084399258</v>
      </c>
    </row>
    <row r="45" spans="2:7" ht="13.5" thickBot="1" x14ac:dyDescent="0.25">
      <c r="D45" s="101" t="s">
        <v>45</v>
      </c>
      <c r="E45" s="97">
        <f>E43/(-E41*100%)</f>
        <v>1.5193178704281289</v>
      </c>
      <c r="F45" s="97">
        <f t="shared" ref="F45:G45" si="16">F43/(-F41*100%)</f>
        <v>10.27956824748901</v>
      </c>
      <c r="G45" s="97">
        <f t="shared" si="16"/>
        <v>20.431174220672588</v>
      </c>
    </row>
    <row r="46" spans="2:7" x14ac:dyDescent="0.2">
      <c r="D46" s="123"/>
      <c r="E46" s="123"/>
      <c r="F46" s="104"/>
      <c r="G46" s="104"/>
    </row>
    <row r="47" spans="2:7" x14ac:dyDescent="0.2">
      <c r="D47" s="124"/>
      <c r="E47" s="123"/>
      <c r="F47" s="104"/>
      <c r="G47" s="104"/>
    </row>
    <row r="48" spans="2:7" x14ac:dyDescent="0.2">
      <c r="D48" s="35" t="s">
        <v>0</v>
      </c>
      <c r="E48" s="38">
        <f>E24/$E$32</f>
        <v>0.20001245874596071</v>
      </c>
      <c r="F48" s="38">
        <f>F24/$F$32</f>
        <v>0.18384969839098181</v>
      </c>
      <c r="G48" s="38">
        <f>G24/$G$32</f>
        <v>0.17955474208088823</v>
      </c>
    </row>
    <row r="49" spans="4:7" x14ac:dyDescent="0.2">
      <c r="D49" s="35" t="s">
        <v>5</v>
      </c>
      <c r="E49" s="38">
        <f t="shared" ref="E49:E55" si="17">E25/$E$32</f>
        <v>0.34174476892632594</v>
      </c>
      <c r="F49" s="38">
        <f t="shared" ref="F49:F55" si="18">F25/$F$32</f>
        <v>0.41030548171145609</v>
      </c>
      <c r="G49" s="38">
        <f t="shared" ref="G49:G55" si="19">G25/$G$32</f>
        <v>0.43745255224477264</v>
      </c>
    </row>
    <row r="50" spans="4:7" x14ac:dyDescent="0.2">
      <c r="D50" s="35" t="s">
        <v>6</v>
      </c>
      <c r="E50" s="38">
        <f t="shared" si="17"/>
        <v>0.21386384915483511</v>
      </c>
      <c r="F50" s="38">
        <f t="shared" si="18"/>
        <v>0.23580839181217875</v>
      </c>
      <c r="G50" s="38">
        <f t="shared" si="19"/>
        <v>0.24355363035469005</v>
      </c>
    </row>
    <row r="51" spans="4:7" x14ac:dyDescent="0.2">
      <c r="D51" s="51" t="s">
        <v>7</v>
      </c>
      <c r="E51" s="38">
        <f t="shared" si="17"/>
        <v>5.0066503034758514E-2</v>
      </c>
      <c r="F51" s="38">
        <f t="shared" si="18"/>
        <v>5.2136941689776291E-2</v>
      </c>
      <c r="G51" s="38">
        <f t="shared" si="19"/>
        <v>4.5164016495838073E-2</v>
      </c>
    </row>
    <row r="52" spans="4:7" x14ac:dyDescent="0.2">
      <c r="D52" s="2" t="s">
        <v>8</v>
      </c>
      <c r="E52" s="38">
        <f t="shared" si="17"/>
        <v>0.38089271102235484</v>
      </c>
      <c r="F52" s="38">
        <f t="shared" si="18"/>
        <v>0.25665203922319579</v>
      </c>
      <c r="G52" s="38">
        <f t="shared" si="19"/>
        <v>0.20522469465074239</v>
      </c>
    </row>
    <row r="53" spans="4:7" x14ac:dyDescent="0.2">
      <c r="D53" s="2" t="s">
        <v>9</v>
      </c>
      <c r="E53" s="38">
        <f t="shared" si="17"/>
        <v>2.6158570546600278E-2</v>
      </c>
      <c r="F53" s="38">
        <f t="shared" si="18"/>
        <v>1.7626093331974419E-2</v>
      </c>
      <c r="G53" s="38">
        <f t="shared" si="19"/>
        <v>1.409421734145727E-2</v>
      </c>
    </row>
    <row r="54" spans="4:7" x14ac:dyDescent="0.2">
      <c r="D54" s="2" t="s">
        <v>17</v>
      </c>
      <c r="E54" s="38">
        <f t="shared" si="17"/>
        <v>-0.17015378324139865</v>
      </c>
      <c r="F54" s="38">
        <f t="shared" si="18"/>
        <v>-0.12507549435610985</v>
      </c>
      <c r="G54" s="38">
        <f t="shared" si="19"/>
        <v>-0.10001315483490386</v>
      </c>
    </row>
    <row r="55" spans="4:7" x14ac:dyDescent="0.2">
      <c r="D55" s="21" t="s">
        <v>18</v>
      </c>
      <c r="E55" s="38">
        <f t="shared" si="17"/>
        <v>-4.2585078189436784E-2</v>
      </c>
      <c r="F55" s="38">
        <f t="shared" si="18"/>
        <v>-3.130315180345334E-2</v>
      </c>
      <c r="G55" s="38">
        <f t="shared" si="19"/>
        <v>-2.5030698333484903E-2</v>
      </c>
    </row>
    <row r="56" spans="4:7" x14ac:dyDescent="0.2">
      <c r="D56" s="104"/>
      <c r="E56" s="104"/>
      <c r="F56" s="31"/>
      <c r="G56" s="104"/>
    </row>
    <row r="57" spans="4:7" x14ac:dyDescent="0.2">
      <c r="D57" s="104"/>
      <c r="E57" s="104"/>
      <c r="F57" s="31"/>
      <c r="G57" s="104"/>
    </row>
    <row r="58" spans="4:7" x14ac:dyDescent="0.2">
      <c r="F58" s="103"/>
    </row>
    <row r="59" spans="4:7" x14ac:dyDescent="0.2">
      <c r="E59" s="102"/>
    </row>
  </sheetData>
  <mergeCells count="1">
    <mergeCell ref="C4:G4"/>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21"/>
  <sheetViews>
    <sheetView workbookViewId="0">
      <selection activeCell="N27" sqref="N27"/>
    </sheetView>
  </sheetViews>
  <sheetFormatPr baseColWidth="10" defaultRowHeight="12.75" x14ac:dyDescent="0.2"/>
  <cols>
    <col min="1" max="1" width="28.5703125" style="2" bestFit="1" customWidth="1"/>
    <col min="2" max="16384" width="11.42578125" style="2"/>
  </cols>
  <sheetData>
    <row r="2" spans="1:18" x14ac:dyDescent="0.2">
      <c r="B2" s="259" t="s">
        <v>63</v>
      </c>
      <c r="C2" s="259"/>
      <c r="D2" s="259"/>
      <c r="E2" s="259"/>
      <c r="F2" s="259"/>
      <c r="G2" s="259"/>
      <c r="H2" s="259"/>
      <c r="I2" s="259"/>
      <c r="J2" s="259"/>
      <c r="K2" s="259"/>
      <c r="L2" s="66"/>
      <c r="M2" s="66"/>
    </row>
    <row r="3" spans="1:18" x14ac:dyDescent="0.2">
      <c r="B3" s="2" t="s">
        <v>51</v>
      </c>
      <c r="C3" s="2" t="s">
        <v>52</v>
      </c>
      <c r="D3" s="2" t="s">
        <v>53</v>
      </c>
      <c r="E3" s="2" t="s">
        <v>54</v>
      </c>
      <c r="F3" s="2" t="s">
        <v>55</v>
      </c>
      <c r="G3" s="2" t="s">
        <v>56</v>
      </c>
      <c r="H3" s="2" t="s">
        <v>57</v>
      </c>
      <c r="I3" s="70" t="s">
        <v>58</v>
      </c>
      <c r="J3" s="2" t="s">
        <v>59</v>
      </c>
      <c r="K3" s="2" t="s">
        <v>60</v>
      </c>
    </row>
    <row r="4" spans="1:18" x14ac:dyDescent="0.2">
      <c r="A4" s="2" t="s">
        <v>50</v>
      </c>
      <c r="B4" s="11">
        <v>37000</v>
      </c>
      <c r="C4" s="11">
        <v>44000</v>
      </c>
      <c r="D4" s="11">
        <v>47000</v>
      </c>
      <c r="E4" s="11">
        <v>52000</v>
      </c>
      <c r="F4" s="11">
        <v>59000</v>
      </c>
      <c r="G4" s="11">
        <v>60000</v>
      </c>
      <c r="H4" s="11">
        <v>61000</v>
      </c>
      <c r="I4" s="71">
        <v>68000</v>
      </c>
      <c r="J4" s="2">
        <v>93000</v>
      </c>
      <c r="K4" s="2">
        <v>105267</v>
      </c>
    </row>
    <row r="5" spans="1:18" x14ac:dyDescent="0.2">
      <c r="C5" s="16">
        <f>(C4/B4)-1</f>
        <v>0.18918918918918926</v>
      </c>
      <c r="D5" s="16">
        <f t="shared" ref="D5:I5" si="0">(D4/C4)-1</f>
        <v>6.8181818181818121E-2</v>
      </c>
      <c r="E5" s="16">
        <f t="shared" si="0"/>
        <v>0.1063829787234043</v>
      </c>
      <c r="F5" s="16">
        <f t="shared" si="0"/>
        <v>0.13461538461538458</v>
      </c>
      <c r="G5" s="16">
        <f t="shared" si="0"/>
        <v>1.6949152542372836E-2</v>
      </c>
      <c r="H5" s="16">
        <f t="shared" si="0"/>
        <v>1.6666666666666607E-2</v>
      </c>
      <c r="I5" s="72">
        <f t="shared" si="0"/>
        <v>0.11475409836065564</v>
      </c>
      <c r="J5" s="16">
        <f t="shared" ref="J5" si="1">(J4/I4)-1</f>
        <v>0.36764705882352944</v>
      </c>
      <c r="K5" s="16">
        <f t="shared" ref="K5" si="2">(K4/J4)-1</f>
        <v>0.13190322580645164</v>
      </c>
    </row>
    <row r="6" spans="1:18" x14ac:dyDescent="0.2">
      <c r="C6" s="16"/>
      <c r="D6" s="16"/>
      <c r="E6" s="16"/>
      <c r="F6" s="16"/>
      <c r="G6" s="16"/>
      <c r="H6" s="16"/>
      <c r="I6" s="69"/>
      <c r="J6" s="16"/>
      <c r="K6" s="16"/>
    </row>
    <row r="7" spans="1:18" x14ac:dyDescent="0.2">
      <c r="B7" s="259" t="s">
        <v>64</v>
      </c>
      <c r="C7" s="259"/>
      <c r="D7" s="259"/>
      <c r="E7" s="259"/>
      <c r="F7" s="259"/>
      <c r="G7" s="259"/>
      <c r="H7" s="259"/>
      <c r="I7" s="259"/>
      <c r="J7" s="259"/>
      <c r="K7" s="259"/>
      <c r="L7" s="259"/>
      <c r="M7" s="259"/>
      <c r="N7" s="259"/>
      <c r="O7" s="259"/>
      <c r="P7" s="259"/>
      <c r="Q7" s="259"/>
      <c r="R7" s="259"/>
    </row>
    <row r="8" spans="1:18" s="76" customFormat="1" x14ac:dyDescent="0.2">
      <c r="B8" s="260" t="s">
        <v>63</v>
      </c>
      <c r="C8" s="260"/>
      <c r="D8" s="260"/>
      <c r="E8" s="260"/>
      <c r="F8" s="260"/>
      <c r="G8" s="260"/>
      <c r="H8" s="260"/>
      <c r="I8" s="260"/>
      <c r="J8" s="261" t="s">
        <v>65</v>
      </c>
      <c r="K8" s="262"/>
      <c r="L8" s="262"/>
      <c r="M8" s="262"/>
      <c r="N8" s="262"/>
      <c r="O8" s="262"/>
      <c r="P8" s="262"/>
      <c r="Q8" s="262"/>
      <c r="R8" s="263"/>
    </row>
    <row r="9" spans="1:18" x14ac:dyDescent="0.2">
      <c r="B9" s="2" t="s">
        <v>51</v>
      </c>
      <c r="C9" s="2" t="s">
        <v>52</v>
      </c>
      <c r="D9" s="2" t="s">
        <v>53</v>
      </c>
      <c r="E9" s="2" t="s">
        <v>54</v>
      </c>
      <c r="F9" s="2" t="s">
        <v>55</v>
      </c>
      <c r="G9" s="2" t="s">
        <v>56</v>
      </c>
      <c r="H9" s="2" t="s">
        <v>57</v>
      </c>
      <c r="I9" s="67" t="s">
        <v>58</v>
      </c>
      <c r="J9" s="73" t="s">
        <v>59</v>
      </c>
      <c r="K9" s="2" t="s">
        <v>60</v>
      </c>
      <c r="L9" s="2" t="s">
        <v>61</v>
      </c>
      <c r="M9" s="2" t="s">
        <v>62</v>
      </c>
      <c r="N9" s="2" t="s">
        <v>51</v>
      </c>
      <c r="O9" s="2" t="s">
        <v>52</v>
      </c>
      <c r="P9" s="2" t="s">
        <v>53</v>
      </c>
      <c r="Q9" s="2" t="s">
        <v>54</v>
      </c>
      <c r="R9" s="2" t="s">
        <v>55</v>
      </c>
    </row>
    <row r="10" spans="1:18" x14ac:dyDescent="0.2">
      <c r="A10" s="2" t="s">
        <v>50</v>
      </c>
      <c r="B10" s="11">
        <v>37000</v>
      </c>
      <c r="C10" s="11">
        <v>44000</v>
      </c>
      <c r="D10" s="11">
        <v>47000</v>
      </c>
      <c r="E10" s="11">
        <v>52000</v>
      </c>
      <c r="F10" s="11">
        <v>59000</v>
      </c>
      <c r="G10" s="11">
        <v>60000</v>
      </c>
      <c r="H10" s="11">
        <v>61000</v>
      </c>
      <c r="I10" s="68">
        <v>68000</v>
      </c>
      <c r="J10" s="74">
        <f>I10*(1+0.052)</f>
        <v>71536</v>
      </c>
      <c r="K10" s="19">
        <f t="shared" ref="K10:P10" si="3">J10*(1+0.052)</f>
        <v>75255.872000000003</v>
      </c>
      <c r="L10" s="19">
        <f t="shared" si="3"/>
        <v>79169.177344000011</v>
      </c>
      <c r="M10" s="19">
        <f t="shared" si="3"/>
        <v>83285.974565888013</v>
      </c>
      <c r="N10" s="19">
        <f t="shared" si="3"/>
        <v>87616.845243314194</v>
      </c>
      <c r="O10" s="19">
        <f t="shared" si="3"/>
        <v>92172.921195966541</v>
      </c>
      <c r="P10" s="19">
        <f t="shared" si="3"/>
        <v>96965.913098156801</v>
      </c>
      <c r="Q10" s="19">
        <f>P10*(1+0.01)</f>
        <v>97935.572229138372</v>
      </c>
      <c r="R10" s="19">
        <f>Q10*(1+0.01)</f>
        <v>98914.927951429752</v>
      </c>
    </row>
    <row r="11" spans="1:18" x14ac:dyDescent="0.2">
      <c r="C11" s="16">
        <f>(C10/B10)-1</f>
        <v>0.18918918918918926</v>
      </c>
      <c r="D11" s="16">
        <f t="shared" ref="D11" si="4">(D10/C10)-1</f>
        <v>6.8181818181818121E-2</v>
      </c>
      <c r="E11" s="16">
        <f t="shared" ref="E11" si="5">(E10/D10)-1</f>
        <v>0.1063829787234043</v>
      </c>
      <c r="F11" s="16">
        <f t="shared" ref="F11" si="6">(F10/E10)-1</f>
        <v>0.13461538461538458</v>
      </c>
      <c r="G11" s="16">
        <f t="shared" ref="G11" si="7">(G10/F10)-1</f>
        <v>1.6949152542372836E-2</v>
      </c>
      <c r="H11" s="16">
        <f t="shared" ref="H11" si="8">(H10/G10)-1</f>
        <v>1.6666666666666607E-2</v>
      </c>
      <c r="I11" s="69">
        <f t="shared" ref="I11" si="9">(I10/H10)-1</f>
        <v>0.11475409836065564</v>
      </c>
      <c r="J11" s="75">
        <f t="shared" ref="J11" si="10">(J10/I10)-1</f>
        <v>5.2000000000000046E-2</v>
      </c>
      <c r="K11" s="69">
        <f t="shared" ref="K11" si="11">(K10/J10)-1</f>
        <v>5.2000000000000046E-2</v>
      </c>
      <c r="L11" s="69">
        <f t="shared" ref="L11" si="12">(L10/K10)-1</f>
        <v>5.2000000000000046E-2</v>
      </c>
      <c r="M11" s="69">
        <f t="shared" ref="M11" si="13">(M10/L10)-1</f>
        <v>5.2000000000000046E-2</v>
      </c>
      <c r="N11" s="69">
        <f t="shared" ref="N11" si="14">(N10/M10)-1</f>
        <v>5.2000000000000046E-2</v>
      </c>
      <c r="O11" s="69">
        <f t="shared" ref="O11" si="15">(O10/N10)-1</f>
        <v>5.2000000000000046E-2</v>
      </c>
      <c r="P11" s="69">
        <f t="shared" ref="P11" si="16">(P10/O10)-1</f>
        <v>5.2000000000000046E-2</v>
      </c>
      <c r="Q11" s="69">
        <f t="shared" ref="Q11" si="17">(Q10/P10)-1</f>
        <v>1.0000000000000009E-2</v>
      </c>
      <c r="R11" s="69">
        <f t="shared" ref="R11" si="18">(R10/Q10)-1</f>
        <v>1.0000000000000009E-2</v>
      </c>
    </row>
    <row r="13" spans="1:18" x14ac:dyDescent="0.2">
      <c r="R13" s="19"/>
    </row>
    <row r="17" spans="14:17" x14ac:dyDescent="0.2">
      <c r="N17" s="45" t="s">
        <v>58</v>
      </c>
      <c r="O17" s="45" t="s">
        <v>60</v>
      </c>
      <c r="P17" s="45" t="s">
        <v>67</v>
      </c>
    </row>
    <row r="18" spans="14:17" x14ac:dyDescent="0.2">
      <c r="N18" s="46">
        <v>68000</v>
      </c>
      <c r="O18" s="46">
        <v>105267</v>
      </c>
      <c r="P18" s="46">
        <f>O18-N18</f>
        <v>37267</v>
      </c>
      <c r="Q18" s="2">
        <f>(O18/N18)-1</f>
        <v>0.54804411764705874</v>
      </c>
    </row>
    <row r="19" spans="14:17" x14ac:dyDescent="0.2">
      <c r="N19" s="46">
        <v>410000</v>
      </c>
      <c r="O19" s="46">
        <v>506000</v>
      </c>
      <c r="P19" s="46">
        <f t="shared" ref="P19:P21" si="19">O19-N19</f>
        <v>96000</v>
      </c>
    </row>
    <row r="20" spans="14:17" x14ac:dyDescent="0.2">
      <c r="N20" s="46">
        <v>675000</v>
      </c>
      <c r="O20" s="46">
        <v>450000</v>
      </c>
      <c r="P20" s="46">
        <f t="shared" si="19"/>
        <v>-225000</v>
      </c>
    </row>
    <row r="21" spans="14:17" x14ac:dyDescent="0.2">
      <c r="N21" s="46">
        <v>228000</v>
      </c>
      <c r="O21" s="46">
        <v>119000</v>
      </c>
      <c r="P21" s="46">
        <f t="shared" si="19"/>
        <v>-109000</v>
      </c>
    </row>
  </sheetData>
  <mergeCells count="4">
    <mergeCell ref="B2:K2"/>
    <mergeCell ref="B7:R7"/>
    <mergeCell ref="B8:I8"/>
    <mergeCell ref="J8:R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P33"/>
  <sheetViews>
    <sheetView topLeftCell="A13" workbookViewId="0">
      <selection activeCell="D30" sqref="D30"/>
    </sheetView>
  </sheetViews>
  <sheetFormatPr baseColWidth="10" defaultRowHeight="15" x14ac:dyDescent="0.25"/>
  <cols>
    <col min="2" max="2" width="13.140625" bestFit="1" customWidth="1"/>
  </cols>
  <sheetData>
    <row r="4" spans="2:16" ht="30" x14ac:dyDescent="0.25">
      <c r="B4" s="160" t="s">
        <v>88</v>
      </c>
      <c r="C4" s="160" t="s">
        <v>89</v>
      </c>
      <c r="D4" s="160" t="s">
        <v>90</v>
      </c>
      <c r="E4" s="160" t="s">
        <v>91</v>
      </c>
      <c r="F4" s="160" t="s">
        <v>92</v>
      </c>
      <c r="G4" s="160" t="s">
        <v>93</v>
      </c>
      <c r="H4" s="160" t="s">
        <v>94</v>
      </c>
      <c r="I4" s="160" t="s">
        <v>95</v>
      </c>
      <c r="J4" s="160" t="s">
        <v>96</v>
      </c>
      <c r="K4" s="160" t="s">
        <v>97</v>
      </c>
      <c r="L4" s="160" t="s">
        <v>98</v>
      </c>
      <c r="M4" s="160" t="s">
        <v>99</v>
      </c>
      <c r="N4" s="160" t="s">
        <v>100</v>
      </c>
      <c r="O4" s="155" t="s">
        <v>101</v>
      </c>
    </row>
    <row r="5" spans="2:16" x14ac:dyDescent="0.25">
      <c r="B5" s="156" t="s">
        <v>102</v>
      </c>
      <c r="C5" s="157">
        <v>217</v>
      </c>
      <c r="D5" s="157">
        <v>154</v>
      </c>
      <c r="E5" s="157">
        <v>832</v>
      </c>
      <c r="F5" s="157">
        <v>170</v>
      </c>
      <c r="G5" s="157">
        <v>428</v>
      </c>
      <c r="H5" s="157">
        <v>465</v>
      </c>
      <c r="I5" s="157">
        <v>197</v>
      </c>
      <c r="J5" s="157">
        <v>266</v>
      </c>
      <c r="K5" s="157">
        <v>526</v>
      </c>
      <c r="L5" s="157">
        <v>182</v>
      </c>
      <c r="M5" s="157">
        <v>140</v>
      </c>
      <c r="N5" s="157">
        <v>400</v>
      </c>
      <c r="O5" s="158">
        <f>SUM(C5:N5)</f>
        <v>3977</v>
      </c>
    </row>
    <row r="6" spans="2:16" x14ac:dyDescent="0.25">
      <c r="B6" s="156" t="s">
        <v>103</v>
      </c>
      <c r="C6" s="157">
        <v>60</v>
      </c>
      <c r="D6" s="157">
        <v>48</v>
      </c>
      <c r="E6" s="157">
        <v>366</v>
      </c>
      <c r="F6" s="157">
        <v>54</v>
      </c>
      <c r="G6" s="157">
        <v>188</v>
      </c>
      <c r="H6" s="157">
        <v>215</v>
      </c>
      <c r="I6" s="157">
        <v>147</v>
      </c>
      <c r="J6" s="157">
        <v>140</v>
      </c>
      <c r="K6" s="157">
        <v>207</v>
      </c>
      <c r="L6" s="157">
        <v>100</v>
      </c>
      <c r="M6" s="157">
        <v>158</v>
      </c>
      <c r="N6" s="157">
        <v>425</v>
      </c>
      <c r="O6" s="158">
        <f t="shared" ref="O6:O8" si="0">SUM(C6:N6)</f>
        <v>2108</v>
      </c>
    </row>
    <row r="7" spans="2:16" x14ac:dyDescent="0.25">
      <c r="B7" s="156" t="s">
        <v>104</v>
      </c>
      <c r="C7" s="157">
        <v>92</v>
      </c>
      <c r="D7" s="157">
        <v>52</v>
      </c>
      <c r="E7" s="157">
        <v>175</v>
      </c>
      <c r="F7" s="157">
        <v>52</v>
      </c>
      <c r="G7" s="157">
        <v>169</v>
      </c>
      <c r="H7" s="157">
        <v>152</v>
      </c>
      <c r="I7" s="157">
        <v>67</v>
      </c>
      <c r="J7" s="157">
        <v>123</v>
      </c>
      <c r="K7" s="157">
        <v>216</v>
      </c>
      <c r="L7" s="157">
        <v>54</v>
      </c>
      <c r="M7" s="157">
        <v>56</v>
      </c>
      <c r="N7" s="157">
        <v>162</v>
      </c>
      <c r="O7" s="158">
        <f t="shared" si="0"/>
        <v>1370</v>
      </c>
    </row>
    <row r="8" spans="2:16" x14ac:dyDescent="0.25">
      <c r="B8" s="156" t="s">
        <v>105</v>
      </c>
      <c r="C8" s="157">
        <v>18</v>
      </c>
      <c r="D8" s="159">
        <v>7</v>
      </c>
      <c r="E8" s="159">
        <v>23</v>
      </c>
      <c r="F8" s="159">
        <v>15</v>
      </c>
      <c r="G8" s="159">
        <v>57</v>
      </c>
      <c r="H8" s="159">
        <v>49</v>
      </c>
      <c r="I8" s="159">
        <v>38</v>
      </c>
      <c r="J8" s="159">
        <v>36</v>
      </c>
      <c r="K8" s="159">
        <v>18</v>
      </c>
      <c r="L8" s="159">
        <v>20</v>
      </c>
      <c r="M8" s="159">
        <v>38</v>
      </c>
      <c r="N8" s="159">
        <v>107</v>
      </c>
      <c r="O8" s="158">
        <f t="shared" si="0"/>
        <v>426</v>
      </c>
    </row>
    <row r="10" spans="2:16" x14ac:dyDescent="0.25">
      <c r="D10" s="167">
        <f>(D5/C5)-1</f>
        <v>-0.29032258064516125</v>
      </c>
      <c r="E10" s="167">
        <f t="shared" ref="E10:N10" si="1">(E5/D5)-1</f>
        <v>4.4025974025974026</v>
      </c>
      <c r="F10" s="167">
        <f t="shared" si="1"/>
        <v>-0.79567307692307687</v>
      </c>
      <c r="G10" s="167">
        <f t="shared" si="1"/>
        <v>1.5176470588235293</v>
      </c>
      <c r="H10" s="167">
        <f t="shared" si="1"/>
        <v>8.6448598130841159E-2</v>
      </c>
      <c r="I10" s="167">
        <f t="shared" si="1"/>
        <v>-0.57634408602150544</v>
      </c>
      <c r="J10" s="167">
        <f t="shared" si="1"/>
        <v>0.35025380710659904</v>
      </c>
      <c r="K10" s="167">
        <f t="shared" si="1"/>
        <v>0.97744360902255645</v>
      </c>
      <c r="L10" s="167">
        <f t="shared" si="1"/>
        <v>-0.6539923954372624</v>
      </c>
      <c r="M10" s="167">
        <f t="shared" si="1"/>
        <v>-0.23076923076923073</v>
      </c>
      <c r="N10" s="167">
        <f t="shared" si="1"/>
        <v>1.8571428571428572</v>
      </c>
      <c r="O10" s="163">
        <f>AVERAGE(D10:N10)</f>
        <v>0.60403926936614072</v>
      </c>
    </row>
    <row r="11" spans="2:16" x14ac:dyDescent="0.25">
      <c r="D11" s="167">
        <f t="shared" ref="D11:N11" si="2">(D6/C6)-1</f>
        <v>-0.19999999999999996</v>
      </c>
      <c r="E11" s="167">
        <f t="shared" si="2"/>
        <v>6.625</v>
      </c>
      <c r="F11" s="167">
        <f t="shared" si="2"/>
        <v>-0.85245901639344268</v>
      </c>
      <c r="G11" s="167">
        <f t="shared" si="2"/>
        <v>2.4814814814814814</v>
      </c>
      <c r="H11" s="167">
        <f t="shared" si="2"/>
        <v>0.1436170212765957</v>
      </c>
      <c r="I11" s="167">
        <f t="shared" si="2"/>
        <v>-0.31627906976744191</v>
      </c>
      <c r="J11" s="167">
        <f t="shared" si="2"/>
        <v>-4.7619047619047672E-2</v>
      </c>
      <c r="K11" s="167">
        <f t="shared" si="2"/>
        <v>0.47857142857142865</v>
      </c>
      <c r="L11" s="167">
        <f t="shared" si="2"/>
        <v>-0.51690821256038655</v>
      </c>
      <c r="M11" s="167">
        <f t="shared" si="2"/>
        <v>0.58000000000000007</v>
      </c>
      <c r="N11" s="167">
        <f t="shared" si="2"/>
        <v>1.6898734177215191</v>
      </c>
      <c r="O11" s="163">
        <f t="shared" ref="O11:O13" si="3">AVERAGE(D11:N11)</f>
        <v>0.91502527297370051</v>
      </c>
    </row>
    <row r="12" spans="2:16" x14ac:dyDescent="0.25">
      <c r="D12" s="167">
        <f t="shared" ref="D12:N12" si="4">(D7/C7)-1</f>
        <v>-0.43478260869565222</v>
      </c>
      <c r="E12" s="167">
        <f t="shared" si="4"/>
        <v>2.3653846153846154</v>
      </c>
      <c r="F12" s="167">
        <f t="shared" si="4"/>
        <v>-0.70285714285714285</v>
      </c>
      <c r="G12" s="167">
        <f t="shared" si="4"/>
        <v>2.25</v>
      </c>
      <c r="H12" s="167">
        <f t="shared" si="4"/>
        <v>-0.10059171597633132</v>
      </c>
      <c r="I12" s="167">
        <f t="shared" si="4"/>
        <v>-0.55921052631578949</v>
      </c>
      <c r="J12" s="167">
        <f t="shared" si="4"/>
        <v>0.83582089552238803</v>
      </c>
      <c r="K12" s="167">
        <f t="shared" si="4"/>
        <v>0.75609756097560976</v>
      </c>
      <c r="L12" s="167">
        <f t="shared" si="4"/>
        <v>-0.75</v>
      </c>
      <c r="M12" s="167">
        <f t="shared" si="4"/>
        <v>3.7037037037036979E-2</v>
      </c>
      <c r="N12" s="167">
        <f t="shared" si="4"/>
        <v>1.8928571428571428</v>
      </c>
      <c r="O12" s="163">
        <f t="shared" si="3"/>
        <v>0.50815956890289793</v>
      </c>
    </row>
    <row r="13" spans="2:16" x14ac:dyDescent="0.25">
      <c r="D13" s="167">
        <f t="shared" ref="D13:N13" si="5">(D8/C8)-1</f>
        <v>-0.61111111111111116</v>
      </c>
      <c r="E13" s="167">
        <f t="shared" si="5"/>
        <v>2.2857142857142856</v>
      </c>
      <c r="F13" s="167">
        <f t="shared" si="5"/>
        <v>-0.34782608695652173</v>
      </c>
      <c r="G13" s="167">
        <f t="shared" si="5"/>
        <v>2.8</v>
      </c>
      <c r="H13" s="167">
        <f t="shared" si="5"/>
        <v>-0.14035087719298245</v>
      </c>
      <c r="I13" s="167">
        <f t="shared" si="5"/>
        <v>-0.22448979591836737</v>
      </c>
      <c r="J13" s="167">
        <f t="shared" si="5"/>
        <v>-5.2631578947368474E-2</v>
      </c>
      <c r="K13" s="167">
        <f t="shared" si="5"/>
        <v>-0.5</v>
      </c>
      <c r="L13" s="167">
        <f t="shared" si="5"/>
        <v>0.11111111111111116</v>
      </c>
      <c r="M13" s="167">
        <f t="shared" si="5"/>
        <v>0.89999999999999991</v>
      </c>
      <c r="N13" s="167">
        <f t="shared" si="5"/>
        <v>1.8157894736842106</v>
      </c>
      <c r="O13" s="163">
        <f t="shared" si="3"/>
        <v>0.54874594730756876</v>
      </c>
    </row>
    <row r="16" spans="2:16" x14ac:dyDescent="0.25">
      <c r="D16" s="161">
        <f>C20*D10</f>
        <v>-558.55887096774188</v>
      </c>
      <c r="E16" s="161">
        <f t="shared" ref="E16:O16" si="6">D20*E10</f>
        <v>10418.428665584415</v>
      </c>
      <c r="F16" s="161">
        <f t="shared" si="6"/>
        <v>-2315.9705044651441</v>
      </c>
      <c r="G16" s="161">
        <f t="shared" si="6"/>
        <v>5433.4322593385295</v>
      </c>
      <c r="H16" s="161">
        <f t="shared" si="6"/>
        <v>380.68567848315962</v>
      </c>
      <c r="I16" s="161">
        <f t="shared" si="6"/>
        <v>-3121.7314257262865</v>
      </c>
      <c r="J16" s="161">
        <f t="shared" si="6"/>
        <v>2333.4670417672992</v>
      </c>
      <c r="K16" s="161">
        <f t="shared" si="6"/>
        <v>8009.6885535341016</v>
      </c>
      <c r="L16" s="161">
        <f t="shared" si="6"/>
        <v>-6591.7651793300593</v>
      </c>
      <c r="M16" s="161">
        <f t="shared" si="6"/>
        <v>-2860.961696594115</v>
      </c>
      <c r="N16" s="161">
        <f t="shared" si="6"/>
        <v>28319.433708143755</v>
      </c>
      <c r="O16" s="161">
        <f t="shared" si="6"/>
        <v>11329.468530419799</v>
      </c>
      <c r="P16" s="161">
        <f>SUM(D16:O16)</f>
        <v>50775.616760187717</v>
      </c>
    </row>
    <row r="20" spans="1:16" x14ac:dyDescent="0.25">
      <c r="B20" t="s">
        <v>0</v>
      </c>
      <c r="C20" s="162">
        <f>'Evolución Ventas Logros'!B7</f>
        <v>1923.925</v>
      </c>
      <c r="D20" s="162">
        <f>'Evolución Ventas Logros'!C7</f>
        <v>2366.4277499999998</v>
      </c>
      <c r="E20" s="162">
        <f>'Evolución Ventas Logros'!D7</f>
        <v>2910.7061325</v>
      </c>
      <c r="F20" s="162">
        <f>'Evolución Ventas Logros'!E7</f>
        <v>3580.168542975</v>
      </c>
      <c r="G20" s="162">
        <f>'Evolución Ventas Logros'!F7</f>
        <v>4403.6073078592499</v>
      </c>
      <c r="H20" s="162">
        <f>'Evolución Ventas Logros'!G7</f>
        <v>5416.4369886668774</v>
      </c>
      <c r="I20" s="162">
        <f>'Evolución Ventas Logros'!H7</f>
        <v>6662.2174960602588</v>
      </c>
      <c r="J20" s="162">
        <f>'Evolución Ventas Logros'!I7</f>
        <v>8194.527520154119</v>
      </c>
      <c r="K20" s="162">
        <f>'Evolución Ventas Logros'!J7</f>
        <v>10079.268849789567</v>
      </c>
      <c r="L20" s="162">
        <f>'Evolución Ventas Logros'!K7</f>
        <v>12397.500685241168</v>
      </c>
      <c r="M20" s="162">
        <f>'Evolución Ventas Logros'!L7</f>
        <v>15248.925842846636</v>
      </c>
      <c r="N20" s="162">
        <f>'Evolución Ventas Logros'!M7</f>
        <v>18756.178786701363</v>
      </c>
      <c r="O20" s="164">
        <v>18770</v>
      </c>
      <c r="P20" s="161">
        <f>O20-N20</f>
        <v>13.821213298637304</v>
      </c>
    </row>
    <row r="21" spans="1:16" x14ac:dyDescent="0.25">
      <c r="B21" t="s">
        <v>5</v>
      </c>
      <c r="C21" s="162">
        <v>6234.5</v>
      </c>
      <c r="D21" s="165">
        <f t="shared" ref="D21:N21" si="7">C21*(1+$D$31)</f>
        <v>7814.6340249999994</v>
      </c>
      <c r="E21" s="165">
        <f t="shared" si="7"/>
        <v>9795.2530186362492</v>
      </c>
      <c r="F21" s="165">
        <f t="shared" si="7"/>
        <v>12277.859896209606</v>
      </c>
      <c r="G21" s="165">
        <f t="shared" si="7"/>
        <v>15389.68348690393</v>
      </c>
      <c r="H21" s="165">
        <f t="shared" si="7"/>
        <v>19290.198766659731</v>
      </c>
      <c r="I21" s="165">
        <f t="shared" si="7"/>
        <v>24179.299644069637</v>
      </c>
      <c r="J21" s="165">
        <f t="shared" si="7"/>
        <v>30307.543138859084</v>
      </c>
      <c r="K21" s="165">
        <f t="shared" si="7"/>
        <v>37988.989947402915</v>
      </c>
      <c r="L21" s="165">
        <f t="shared" si="7"/>
        <v>47617.29944957218</v>
      </c>
      <c r="M21" s="165">
        <f t="shared" si="7"/>
        <v>59685.903995066248</v>
      </c>
      <c r="N21" s="165">
        <f t="shared" si="7"/>
        <v>74813.296362615787</v>
      </c>
      <c r="O21" s="164">
        <v>74814</v>
      </c>
      <c r="P21" s="161">
        <f t="shared" ref="P21:P23" si="8">O21-N21</f>
        <v>0.7036373842129251</v>
      </c>
    </row>
    <row r="22" spans="1:16" x14ac:dyDescent="0.25">
      <c r="B22" t="s">
        <v>6</v>
      </c>
      <c r="C22" s="162">
        <v>9112.9166666666661</v>
      </c>
      <c r="D22" s="165">
        <f>C22*(1+$D$32)</f>
        <v>11422.585395833332</v>
      </c>
      <c r="E22" s="165">
        <f t="shared" ref="E22:N22" si="9">D22*(1+$D$32)</f>
        <v>14317.63966440729</v>
      </c>
      <c r="F22" s="165">
        <f t="shared" si="9"/>
        <v>17946.445437351318</v>
      </c>
      <c r="G22" s="165">
        <f t="shared" si="9"/>
        <v>22494.972033448008</v>
      </c>
      <c r="H22" s="165">
        <f t="shared" si="9"/>
        <v>28196.322695325405</v>
      </c>
      <c r="I22" s="165">
        <f t="shared" si="9"/>
        <v>35342.680682455626</v>
      </c>
      <c r="J22" s="165">
        <f t="shared" si="9"/>
        <v>44300.283101424</v>
      </c>
      <c r="K22" s="165">
        <f t="shared" si="9"/>
        <v>55528.189853479911</v>
      </c>
      <c r="L22" s="165">
        <f t="shared" si="9"/>
        <v>69601.809571844395</v>
      </c>
      <c r="M22" s="165">
        <f t="shared" si="9"/>
        <v>87242.38820782835</v>
      </c>
      <c r="N22" s="165">
        <f t="shared" si="9"/>
        <v>109353.97149910244</v>
      </c>
      <c r="O22" s="164">
        <v>109355</v>
      </c>
      <c r="P22" s="161">
        <f t="shared" si="8"/>
        <v>1.0285008975624805</v>
      </c>
    </row>
    <row r="23" spans="1:16" x14ac:dyDescent="0.25">
      <c r="B23" t="s">
        <v>7</v>
      </c>
      <c r="C23" s="162">
        <v>3639.9166666666665</v>
      </c>
      <c r="D23" s="165">
        <f>C23*(1+$D$33)</f>
        <v>4562.453545833333</v>
      </c>
      <c r="E23" s="165">
        <f t="shared" ref="E23:N23" si="10">D23*(1+$D$33)</f>
        <v>5718.8073970247915</v>
      </c>
      <c r="F23" s="165">
        <f t="shared" si="10"/>
        <v>7168.2391318007249</v>
      </c>
      <c r="G23" s="165">
        <f t="shared" si="10"/>
        <v>8985.0293397556179</v>
      </c>
      <c r="H23" s="165">
        <f t="shared" si="10"/>
        <v>11262.285025916679</v>
      </c>
      <c r="I23" s="165">
        <f t="shared" si="10"/>
        <v>14116.71116573526</v>
      </c>
      <c r="J23" s="165">
        <f t="shared" si="10"/>
        <v>17694.591610690859</v>
      </c>
      <c r="K23" s="165">
        <f t="shared" si="10"/>
        <v>22179.285854420457</v>
      </c>
      <c r="L23" s="165">
        <f t="shared" si="10"/>
        <v>27800.625854223323</v>
      </c>
      <c r="M23" s="165">
        <f t="shared" si="10"/>
        <v>34846.694476976219</v>
      </c>
      <c r="N23" s="165">
        <f t="shared" si="10"/>
        <v>43678.58919216584</v>
      </c>
      <c r="O23" s="164">
        <v>43679</v>
      </c>
      <c r="P23" s="161">
        <f t="shared" si="8"/>
        <v>0.41080783415964106</v>
      </c>
    </row>
    <row r="25" spans="1:16" x14ac:dyDescent="0.25">
      <c r="C25" s="161">
        <v>2545</v>
      </c>
      <c r="D25" s="162">
        <f>C25*(1+$D$26)</f>
        <v>2977.6499999999996</v>
      </c>
      <c r="E25" s="162">
        <f t="shared" ref="E25:N25" si="11">D25*(1+$D$26)</f>
        <v>3483.8504999999996</v>
      </c>
      <c r="F25" s="162">
        <f t="shared" si="11"/>
        <v>4076.1050849999992</v>
      </c>
      <c r="G25" s="162">
        <f t="shared" si="11"/>
        <v>4769.0429494499986</v>
      </c>
      <c r="H25" s="162">
        <f t="shared" si="11"/>
        <v>5579.7802508564982</v>
      </c>
      <c r="I25" s="162">
        <f t="shared" si="11"/>
        <v>6528.3428935021029</v>
      </c>
      <c r="J25" s="162">
        <f t="shared" si="11"/>
        <v>7638.16118539746</v>
      </c>
      <c r="K25" s="162">
        <f t="shared" si="11"/>
        <v>8936.6485869150274</v>
      </c>
      <c r="L25" s="162">
        <f t="shared" si="11"/>
        <v>10455.878846690581</v>
      </c>
      <c r="M25" s="162">
        <f t="shared" si="11"/>
        <v>12233.378250627979</v>
      </c>
      <c r="N25" s="162">
        <f t="shared" si="11"/>
        <v>14313.052553234735</v>
      </c>
    </row>
    <row r="26" spans="1:16" x14ac:dyDescent="0.25">
      <c r="D26" s="168">
        <v>0.17</v>
      </c>
    </row>
    <row r="29" spans="1:16" x14ac:dyDescent="0.25">
      <c r="D29" t="s">
        <v>106</v>
      </c>
    </row>
    <row r="30" spans="1:16" x14ac:dyDescent="0.25">
      <c r="A30" s="35" t="s">
        <v>0</v>
      </c>
      <c r="B30" s="12">
        <v>18770</v>
      </c>
      <c r="C30" s="161">
        <f>B30/12</f>
        <v>1564.1666666666667</v>
      </c>
      <c r="D30" s="166">
        <f>'Evolución Ventas Logros'!C42</f>
        <v>0.23</v>
      </c>
    </row>
    <row r="31" spans="1:16" x14ac:dyDescent="0.25">
      <c r="A31" s="35" t="s">
        <v>5</v>
      </c>
      <c r="B31" s="13">
        <v>74814</v>
      </c>
      <c r="C31" s="161">
        <f t="shared" ref="C31:C33" si="12">B31/12</f>
        <v>6234.5</v>
      </c>
      <c r="D31" s="166">
        <v>0.25345000000000001</v>
      </c>
    </row>
    <row r="32" spans="1:16" x14ac:dyDescent="0.25">
      <c r="A32" s="35" t="s">
        <v>6</v>
      </c>
      <c r="B32" s="13">
        <v>109355</v>
      </c>
      <c r="C32" s="161">
        <f t="shared" si="12"/>
        <v>9112.9166666666661</v>
      </c>
      <c r="D32" s="166">
        <v>0.25345000000000001</v>
      </c>
    </row>
    <row r="33" spans="1:4" x14ac:dyDescent="0.25">
      <c r="A33" s="51" t="s">
        <v>7</v>
      </c>
      <c r="B33" s="14">
        <v>43679</v>
      </c>
      <c r="C33" s="161">
        <f t="shared" si="12"/>
        <v>3639.9166666666665</v>
      </c>
      <c r="D33" s="166">
        <v>0.25345000000000001</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Evolución Ventas Logros</vt:lpstr>
      <vt:lpstr>Simulación</vt:lpstr>
      <vt:lpstr>Métricas</vt:lpstr>
      <vt:lpstr>Ajuste del Segmento</vt:lpstr>
      <vt:lpstr>Comparativo</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Mariano Agustin Juiz</dc:creator>
  <cp:lastModifiedBy>Hemeroteca</cp:lastModifiedBy>
  <dcterms:created xsi:type="dcterms:W3CDTF">2020-05-12T02:33:19Z</dcterms:created>
  <dcterms:modified xsi:type="dcterms:W3CDTF">2022-06-16T16:08:23Z</dcterms:modified>
</cp:coreProperties>
</file>