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ti/Desktop/"/>
    </mc:Choice>
  </mc:AlternateContent>
  <xr:revisionPtr revIDLastSave="0" documentId="13_ncr:1_{45AC1D11-C6BD-0544-AFB3-5F7D9EDA9A5B}" xr6:coauthVersionLast="45" xr6:coauthVersionMax="45" xr10:uidLastSave="{00000000-0000-0000-0000-000000000000}"/>
  <bookViews>
    <workbookView xWindow="0" yWindow="460" windowWidth="28800" windowHeight="16220" activeTab="2" xr2:uid="{C479F5D1-C445-9B46-BA17-7B9A91FFE6C1}"/>
  </bookViews>
  <sheets>
    <sheet name="Evolución Ventas Año 1" sheetId="2" r:id="rId1"/>
    <sheet name="Inversión Inicial " sheetId="5" r:id="rId2"/>
    <sheet name="Estimación de demanda" sheetId="1" r:id="rId3"/>
    <sheet name="P&amp;L" sheetId="6" r:id="rId4"/>
    <sheet name="Cashflow" sheetId="7" r:id="rId5"/>
    <sheet name="Gantt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7" l="1"/>
  <c r="H86" i="7"/>
  <c r="C99" i="1" l="1"/>
  <c r="T25" i="1" l="1"/>
  <c r="T24" i="1"/>
  <c r="T23" i="1"/>
  <c r="S25" i="1"/>
  <c r="S24" i="1"/>
  <c r="S23" i="1"/>
  <c r="R25" i="1"/>
  <c r="R24" i="1"/>
  <c r="R29" i="1" s="1"/>
  <c r="R23" i="1"/>
  <c r="Q39" i="1"/>
  <c r="Q96" i="1"/>
  <c r="Q93" i="1"/>
  <c r="Q23" i="1"/>
  <c r="Q24" i="1"/>
  <c r="N66" i="1"/>
  <c r="M66" i="1"/>
  <c r="L66" i="1"/>
  <c r="K66" i="1"/>
  <c r="J66" i="1"/>
  <c r="I66" i="1"/>
  <c r="H66" i="1"/>
  <c r="G66" i="1"/>
  <c r="F66" i="1"/>
  <c r="E66" i="1"/>
  <c r="D66" i="1"/>
  <c r="C66" i="1"/>
  <c r="C67" i="1" s="1"/>
  <c r="N67" i="1"/>
  <c r="M67" i="1"/>
  <c r="L67" i="1"/>
  <c r="K67" i="1"/>
  <c r="J67" i="1"/>
  <c r="I67" i="1"/>
  <c r="H67" i="1"/>
  <c r="G67" i="1"/>
  <c r="F67" i="1"/>
  <c r="E67" i="1"/>
  <c r="D67" i="1"/>
  <c r="O35" i="1"/>
  <c r="N35" i="1"/>
  <c r="M35" i="1"/>
  <c r="L35" i="1"/>
  <c r="K35" i="1"/>
  <c r="J35" i="1"/>
  <c r="I35" i="1"/>
  <c r="H35" i="1"/>
  <c r="G35" i="1"/>
  <c r="F35" i="1"/>
  <c r="E35" i="1"/>
  <c r="D35" i="1"/>
  <c r="O33" i="1"/>
  <c r="N33" i="1"/>
  <c r="M33" i="1"/>
  <c r="L33" i="1"/>
  <c r="K33" i="1"/>
  <c r="J33" i="1"/>
  <c r="I33" i="1"/>
  <c r="H33" i="1"/>
  <c r="G33" i="1"/>
  <c r="F33" i="1"/>
  <c r="E33" i="1"/>
  <c r="D33" i="1"/>
  <c r="O24" i="1"/>
  <c r="N24" i="1"/>
  <c r="M24" i="1"/>
  <c r="L24" i="1"/>
  <c r="K24" i="1"/>
  <c r="J24" i="1"/>
  <c r="I24" i="1"/>
  <c r="H24" i="1"/>
  <c r="G24" i="1"/>
  <c r="F24" i="1"/>
  <c r="E24" i="1"/>
  <c r="D24" i="1"/>
  <c r="H46" i="7" l="1"/>
  <c r="I46" i="7" s="1"/>
  <c r="I60" i="7" l="1"/>
  <c r="H60" i="7"/>
  <c r="P24" i="6"/>
  <c r="P23" i="6"/>
  <c r="P22" i="6"/>
  <c r="P21" i="6"/>
  <c r="P20" i="6"/>
  <c r="D64" i="6"/>
  <c r="Z79" i="1"/>
  <c r="Z80" i="1" s="1"/>
  <c r="T33" i="1" s="1"/>
  <c r="Z85" i="1"/>
  <c r="Z86" i="1" s="1"/>
  <c r="T35" i="1" s="1"/>
  <c r="Z82" i="1"/>
  <c r="Z83" i="1" s="1"/>
  <c r="T34" i="1" s="1"/>
  <c r="T36" i="1" s="1"/>
  <c r="W85" i="1"/>
  <c r="W86" i="1" s="1"/>
  <c r="S35" i="1" s="1"/>
  <c r="W82" i="1"/>
  <c r="W83" i="1" s="1"/>
  <c r="S34" i="1" s="1"/>
  <c r="S36" i="1" s="1"/>
  <c r="W79" i="1"/>
  <c r="W80" i="1" s="1"/>
  <c r="S33" i="1" s="1"/>
  <c r="E30" i="6"/>
  <c r="F30" i="6" s="1"/>
  <c r="G30" i="6" s="1"/>
  <c r="H30" i="6" s="1"/>
  <c r="I30" i="6" s="1"/>
  <c r="J30" i="6" s="1"/>
  <c r="K30" i="6" s="1"/>
  <c r="L30" i="6" s="1"/>
  <c r="M30" i="6" s="1"/>
  <c r="N30" i="6" s="1"/>
  <c r="O30" i="6" s="1"/>
  <c r="E7" i="2"/>
  <c r="E64" i="6" l="1"/>
  <c r="F64" i="6" s="1"/>
  <c r="G64" i="6" s="1"/>
  <c r="H64" i="6" s="1"/>
  <c r="S14" i="7"/>
  <c r="S13" i="7"/>
  <c r="S12" i="7"/>
  <c r="S11" i="7"/>
  <c r="S10" i="7"/>
  <c r="S9" i="7"/>
  <c r="S8" i="7"/>
  <c r="E47" i="7" s="1"/>
  <c r="S7" i="7"/>
  <c r="S6" i="7"/>
  <c r="G67" i="7"/>
  <c r="F67" i="7"/>
  <c r="E67" i="7"/>
  <c r="D67" i="7"/>
  <c r="G60" i="7"/>
  <c r="F60" i="7"/>
  <c r="E60" i="7"/>
  <c r="P31" i="7"/>
  <c r="P24" i="7"/>
  <c r="O31" i="7"/>
  <c r="N31" i="7"/>
  <c r="M31" i="7"/>
  <c r="L31" i="7"/>
  <c r="K31" i="7"/>
  <c r="J31" i="7"/>
  <c r="I31" i="7"/>
  <c r="H31" i="7"/>
  <c r="G31" i="7"/>
  <c r="F31" i="7"/>
  <c r="E31" i="7"/>
  <c r="D31" i="7"/>
  <c r="O24" i="7"/>
  <c r="N24" i="7"/>
  <c r="M24" i="7"/>
  <c r="L24" i="7"/>
  <c r="K24" i="7"/>
  <c r="J24" i="7"/>
  <c r="I24" i="7"/>
  <c r="H24" i="7"/>
  <c r="G24" i="7"/>
  <c r="F24" i="7"/>
  <c r="E24" i="7"/>
  <c r="P16" i="7"/>
  <c r="P34" i="7" s="1"/>
  <c r="O16" i="7"/>
  <c r="O34" i="7" s="1"/>
  <c r="N16" i="7"/>
  <c r="N34" i="7" s="1"/>
  <c r="M16" i="7"/>
  <c r="M34" i="7" s="1"/>
  <c r="L16" i="7"/>
  <c r="L34" i="7" s="1"/>
  <c r="K16" i="7"/>
  <c r="K34" i="7" s="1"/>
  <c r="J16" i="7"/>
  <c r="J34" i="7" s="1"/>
  <c r="I16" i="7"/>
  <c r="I34" i="7" s="1"/>
  <c r="H16" i="7"/>
  <c r="H34" i="7" s="1"/>
  <c r="G16" i="7"/>
  <c r="G34" i="7" s="1"/>
  <c r="F16" i="7"/>
  <c r="F34" i="7" s="1"/>
  <c r="E16" i="7"/>
  <c r="E34" i="7" s="1"/>
  <c r="D31" i="6"/>
  <c r="D36" i="6"/>
  <c r="D67" i="6"/>
  <c r="D66" i="6"/>
  <c r="D65" i="6"/>
  <c r="D63" i="6"/>
  <c r="P14" i="6"/>
  <c r="P13" i="6"/>
  <c r="P12" i="6"/>
  <c r="P9" i="6"/>
  <c r="O31" i="6"/>
  <c r="N31" i="6"/>
  <c r="M31" i="6"/>
  <c r="L31" i="6"/>
  <c r="K31" i="6"/>
  <c r="J31" i="6"/>
  <c r="I31" i="6"/>
  <c r="H31" i="6"/>
  <c r="G31" i="6"/>
  <c r="F31" i="6"/>
  <c r="E31" i="6"/>
  <c r="O15" i="6"/>
  <c r="O25" i="6" s="1"/>
  <c r="N15" i="6"/>
  <c r="N25" i="6" s="1"/>
  <c r="M15" i="6"/>
  <c r="M25" i="6" s="1"/>
  <c r="L15" i="6"/>
  <c r="L25" i="6" s="1"/>
  <c r="K15" i="6"/>
  <c r="K25" i="6" s="1"/>
  <c r="J15" i="6"/>
  <c r="J25" i="6" s="1"/>
  <c r="I15" i="6"/>
  <c r="I25" i="6" s="1"/>
  <c r="H15" i="6"/>
  <c r="H25" i="6" s="1"/>
  <c r="G15" i="6"/>
  <c r="G25" i="6" s="1"/>
  <c r="F15" i="6"/>
  <c r="F25" i="6" s="1"/>
  <c r="E15" i="6"/>
  <c r="E25" i="6" s="1"/>
  <c r="D15" i="6"/>
  <c r="D25" i="6" s="1"/>
  <c r="D11" i="6"/>
  <c r="E7" i="6" s="1"/>
  <c r="E11" i="6"/>
  <c r="F7" i="6" s="1"/>
  <c r="F11" i="6"/>
  <c r="G7" i="6" s="1"/>
  <c r="G11" i="6"/>
  <c r="H7" i="6" s="1"/>
  <c r="H11" i="6"/>
  <c r="I7" i="6" s="1"/>
  <c r="I11" i="6"/>
  <c r="J7" i="6" s="1"/>
  <c r="J11" i="6"/>
  <c r="K7" i="6" s="1"/>
  <c r="K11" i="6"/>
  <c r="L7" i="6" s="1"/>
  <c r="L11" i="6"/>
  <c r="M7" i="6" s="1"/>
  <c r="M11" i="6"/>
  <c r="N7" i="6" s="1"/>
  <c r="N11" i="6"/>
  <c r="O7" i="6" s="1"/>
  <c r="O11" i="6"/>
  <c r="N85" i="1"/>
  <c r="N86" i="1" s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F86" i="1" s="1"/>
  <c r="E85" i="1"/>
  <c r="E86" i="1" s="1"/>
  <c r="D85" i="1"/>
  <c r="D86" i="1" s="1"/>
  <c r="C85" i="1"/>
  <c r="C86" i="1" s="1"/>
  <c r="N82" i="1"/>
  <c r="N83" i="1" s="1"/>
  <c r="M82" i="1"/>
  <c r="M83" i="1" s="1"/>
  <c r="L82" i="1"/>
  <c r="L83" i="1" s="1"/>
  <c r="K82" i="1"/>
  <c r="K83" i="1" s="1"/>
  <c r="J82" i="1"/>
  <c r="J83" i="1" s="1"/>
  <c r="I82" i="1"/>
  <c r="I83" i="1" s="1"/>
  <c r="H82" i="1"/>
  <c r="H83" i="1" s="1"/>
  <c r="G82" i="1"/>
  <c r="G83" i="1" s="1"/>
  <c r="F82" i="1"/>
  <c r="F83" i="1" s="1"/>
  <c r="E82" i="1"/>
  <c r="E83" i="1" s="1"/>
  <c r="D82" i="1"/>
  <c r="D83" i="1" s="1"/>
  <c r="C82" i="1"/>
  <c r="C83" i="1" s="1"/>
  <c r="N79" i="1"/>
  <c r="N80" i="1" s="1"/>
  <c r="M79" i="1"/>
  <c r="M80" i="1" s="1"/>
  <c r="L79" i="1"/>
  <c r="L80" i="1" s="1"/>
  <c r="K79" i="1"/>
  <c r="K80" i="1" s="1"/>
  <c r="J79" i="1"/>
  <c r="J80" i="1" s="1"/>
  <c r="I79" i="1"/>
  <c r="I80" i="1" s="1"/>
  <c r="H79" i="1"/>
  <c r="H80" i="1" s="1"/>
  <c r="G79" i="1"/>
  <c r="G80" i="1" s="1"/>
  <c r="F79" i="1"/>
  <c r="F80" i="1" s="1"/>
  <c r="E79" i="1"/>
  <c r="E80" i="1" s="1"/>
  <c r="D79" i="1"/>
  <c r="D80" i="1" s="1"/>
  <c r="C79" i="1"/>
  <c r="C80" i="1" s="1"/>
  <c r="E33" i="5"/>
  <c r="F24" i="5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F23" i="5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F20" i="5"/>
  <c r="G20" i="5" s="1"/>
  <c r="E9" i="5"/>
  <c r="D17" i="5" s="1"/>
  <c r="D33" i="5" s="1"/>
  <c r="T85" i="1"/>
  <c r="T86" i="1" s="1"/>
  <c r="R35" i="1" s="1"/>
  <c r="T82" i="1"/>
  <c r="T83" i="1" s="1"/>
  <c r="R34" i="1" s="1"/>
  <c r="T79" i="1"/>
  <c r="T80" i="1" s="1"/>
  <c r="R33" i="1" s="1"/>
  <c r="Q85" i="1"/>
  <c r="Q86" i="1" s="1"/>
  <c r="Q82" i="1"/>
  <c r="Q83" i="1" s="1"/>
  <c r="Q34" i="1" s="1"/>
  <c r="Q79" i="1"/>
  <c r="Q80" i="1" s="1"/>
  <c r="Q33" i="1" s="1"/>
  <c r="O30" i="1"/>
  <c r="N30" i="1"/>
  <c r="J30" i="1"/>
  <c r="G28" i="1"/>
  <c r="F30" i="1"/>
  <c r="E29" i="1"/>
  <c r="E26" i="2"/>
  <c r="B96" i="1"/>
  <c r="E22" i="2"/>
  <c r="D37" i="2"/>
  <c r="E17" i="2"/>
  <c r="E15" i="2"/>
  <c r="E11" i="2"/>
  <c r="E63" i="6" l="1"/>
  <c r="E81" i="7"/>
  <c r="E65" i="6"/>
  <c r="F65" i="6" s="1"/>
  <c r="G65" i="6" s="1"/>
  <c r="E18" i="2"/>
  <c r="P25" i="6"/>
  <c r="E49" i="7"/>
  <c r="S34" i="7"/>
  <c r="S16" i="7"/>
  <c r="G47" i="7"/>
  <c r="P11" i="6"/>
  <c r="D39" i="6"/>
  <c r="P15" i="6"/>
  <c r="D49" i="6"/>
  <c r="D48" i="6"/>
  <c r="G27" i="6"/>
  <c r="O27" i="6"/>
  <c r="E36" i="6"/>
  <c r="E39" i="6" s="1"/>
  <c r="D27" i="6"/>
  <c r="H20" i="5"/>
  <c r="G33" i="5"/>
  <c r="F33" i="5"/>
  <c r="N28" i="1"/>
  <c r="F29" i="1"/>
  <c r="F28" i="1"/>
  <c r="J28" i="1"/>
  <c r="K30" i="1"/>
  <c r="K28" i="1"/>
  <c r="L30" i="1"/>
  <c r="L28" i="1"/>
  <c r="E30" i="1"/>
  <c r="I30" i="1"/>
  <c r="G30" i="1"/>
  <c r="O28" i="1"/>
  <c r="E28" i="1"/>
  <c r="I28" i="1"/>
  <c r="C124" i="1"/>
  <c r="C125" i="1" s="1"/>
  <c r="N106" i="1"/>
  <c r="N107" i="1" s="1"/>
  <c r="N108" i="1" s="1"/>
  <c r="N111" i="1" s="1"/>
  <c r="M106" i="1"/>
  <c r="M107" i="1" s="1"/>
  <c r="M108" i="1" s="1"/>
  <c r="M111" i="1" s="1"/>
  <c r="L106" i="1"/>
  <c r="L107" i="1" s="1"/>
  <c r="L108" i="1" s="1"/>
  <c r="L111" i="1" s="1"/>
  <c r="K106" i="1"/>
  <c r="K107" i="1" s="1"/>
  <c r="K108" i="1" s="1"/>
  <c r="K111" i="1" s="1"/>
  <c r="J106" i="1"/>
  <c r="J107" i="1" s="1"/>
  <c r="J108" i="1" s="1"/>
  <c r="J111" i="1" s="1"/>
  <c r="I106" i="1"/>
  <c r="I107" i="1" s="1"/>
  <c r="I108" i="1" s="1"/>
  <c r="I111" i="1" s="1"/>
  <c r="H106" i="1"/>
  <c r="H107" i="1" s="1"/>
  <c r="H108" i="1" s="1"/>
  <c r="H111" i="1" s="1"/>
  <c r="G106" i="1"/>
  <c r="G107" i="1" s="1"/>
  <c r="G108" i="1" s="1"/>
  <c r="G111" i="1" s="1"/>
  <c r="F106" i="1"/>
  <c r="F107" i="1" s="1"/>
  <c r="F108" i="1" s="1"/>
  <c r="F111" i="1" s="1"/>
  <c r="E106" i="1"/>
  <c r="E107" i="1" s="1"/>
  <c r="E108" i="1" s="1"/>
  <c r="E111" i="1" s="1"/>
  <c r="D106" i="1"/>
  <c r="D107" i="1" s="1"/>
  <c r="D108" i="1" s="1"/>
  <c r="D111" i="1" s="1"/>
  <c r="C106" i="1"/>
  <c r="C107" i="1" s="1"/>
  <c r="C108" i="1" s="1"/>
  <c r="C111" i="1" s="1"/>
  <c r="N93" i="1"/>
  <c r="N94" i="1" s="1"/>
  <c r="M93" i="1"/>
  <c r="M94" i="1" s="1"/>
  <c r="M95" i="1" s="1"/>
  <c r="M98" i="1" s="1"/>
  <c r="L93" i="1"/>
  <c r="L94" i="1" s="1"/>
  <c r="L95" i="1" s="1"/>
  <c r="L98" i="1" s="1"/>
  <c r="K93" i="1"/>
  <c r="K94" i="1" s="1"/>
  <c r="K95" i="1" s="1"/>
  <c r="K98" i="1" s="1"/>
  <c r="J93" i="1"/>
  <c r="J94" i="1" s="1"/>
  <c r="J95" i="1" s="1"/>
  <c r="J98" i="1" s="1"/>
  <c r="I93" i="1"/>
  <c r="I94" i="1" s="1"/>
  <c r="I95" i="1" s="1"/>
  <c r="I98" i="1" s="1"/>
  <c r="H93" i="1"/>
  <c r="H94" i="1" s="1"/>
  <c r="H95" i="1" s="1"/>
  <c r="H98" i="1" s="1"/>
  <c r="G93" i="1"/>
  <c r="G94" i="1" s="1"/>
  <c r="G95" i="1" s="1"/>
  <c r="G98" i="1" s="1"/>
  <c r="F93" i="1"/>
  <c r="F94" i="1" s="1"/>
  <c r="F95" i="1" s="1"/>
  <c r="F98" i="1" s="1"/>
  <c r="E93" i="1"/>
  <c r="E94" i="1" s="1"/>
  <c r="E95" i="1" s="1"/>
  <c r="E98" i="1" s="1"/>
  <c r="D93" i="1"/>
  <c r="C93" i="1"/>
  <c r="C94" i="1" s="1"/>
  <c r="C95" i="1" s="1"/>
  <c r="C98" i="1" s="1"/>
  <c r="P41" i="1"/>
  <c r="P39" i="1"/>
  <c r="R36" i="1"/>
  <c r="Q36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E30" i="2" s="1"/>
  <c r="P34" i="1"/>
  <c r="E29" i="2" s="1"/>
  <c r="P33" i="1"/>
  <c r="E28" i="2" s="1"/>
  <c r="C14" i="1"/>
  <c r="B14" i="1" s="1"/>
  <c r="C13" i="1"/>
  <c r="F47" i="7" l="1"/>
  <c r="H47" i="7"/>
  <c r="H65" i="6"/>
  <c r="F63" i="6"/>
  <c r="F81" i="7"/>
  <c r="Q41" i="1"/>
  <c r="R41" i="1" s="1"/>
  <c r="S41" i="1" s="1"/>
  <c r="T41" i="1" s="1"/>
  <c r="E32" i="2"/>
  <c r="R39" i="1"/>
  <c r="S39" i="1" s="1"/>
  <c r="E31" i="2"/>
  <c r="D94" i="1"/>
  <c r="D95" i="1" s="1"/>
  <c r="D98" i="1" s="1"/>
  <c r="F31" i="1"/>
  <c r="F36" i="6"/>
  <c r="F39" i="6" s="1"/>
  <c r="E27" i="6"/>
  <c r="N27" i="6"/>
  <c r="F27" i="6"/>
  <c r="J27" i="6"/>
  <c r="I27" i="6"/>
  <c r="L27" i="6"/>
  <c r="M27" i="6"/>
  <c r="K27" i="6"/>
  <c r="G36" i="6"/>
  <c r="G39" i="6" s="1"/>
  <c r="D41" i="6"/>
  <c r="D44" i="6" s="1"/>
  <c r="H27" i="6"/>
  <c r="H33" i="5"/>
  <c r="I20" i="5"/>
  <c r="E31" i="1"/>
  <c r="D19" i="1"/>
  <c r="P19" i="1" s="1"/>
  <c r="Q19" i="1" s="1"/>
  <c r="H30" i="1"/>
  <c r="H28" i="1"/>
  <c r="M28" i="1"/>
  <c r="M30" i="1"/>
  <c r="G29" i="1"/>
  <c r="N95" i="1"/>
  <c r="N98" i="1" s="1"/>
  <c r="P36" i="1"/>
  <c r="P43" i="1" s="1"/>
  <c r="D58" i="6" s="1"/>
  <c r="C126" i="1"/>
  <c r="C129" i="1" s="1"/>
  <c r="B13" i="1"/>
  <c r="G81" i="7" l="1"/>
  <c r="G63" i="6"/>
  <c r="I47" i="7"/>
  <c r="E33" i="2"/>
  <c r="E36" i="2" s="1"/>
  <c r="Q43" i="1"/>
  <c r="E58" i="6" s="1"/>
  <c r="D68" i="6"/>
  <c r="T39" i="1"/>
  <c r="T43" i="1" s="1"/>
  <c r="H58" i="6" s="1"/>
  <c r="S43" i="1"/>
  <c r="G58" i="6" s="1"/>
  <c r="R43" i="1"/>
  <c r="F58" i="6" s="1"/>
  <c r="G45" i="7" s="1"/>
  <c r="E35" i="2"/>
  <c r="E42" i="2"/>
  <c r="D60" i="6"/>
  <c r="P27" i="6"/>
  <c r="E41" i="6"/>
  <c r="E44" i="6" s="1"/>
  <c r="H36" i="6"/>
  <c r="H39" i="6" s="1"/>
  <c r="F41" i="6"/>
  <c r="F44" i="6" s="1"/>
  <c r="I33" i="5"/>
  <c r="J20" i="5"/>
  <c r="R19" i="1"/>
  <c r="S19" i="1" s="1"/>
  <c r="T19" i="1" s="1"/>
  <c r="D29" i="1"/>
  <c r="P22" i="1"/>
  <c r="H29" i="1"/>
  <c r="H31" i="1" s="1"/>
  <c r="G31" i="1"/>
  <c r="H63" i="6" l="1"/>
  <c r="I81" i="7" s="1"/>
  <c r="H81" i="7"/>
  <c r="D70" i="6"/>
  <c r="E45" i="7"/>
  <c r="E52" i="7" s="1"/>
  <c r="E70" i="7" s="1"/>
  <c r="D73" i="6"/>
  <c r="E37" i="2"/>
  <c r="G52" i="7"/>
  <c r="G70" i="7" s="1"/>
  <c r="Q22" i="1"/>
  <c r="E59" i="6" s="1"/>
  <c r="F82" i="7" s="1"/>
  <c r="F80" i="7" s="1"/>
  <c r="D59" i="6"/>
  <c r="E82" i="7" s="1"/>
  <c r="G60" i="6"/>
  <c r="H45" i="7"/>
  <c r="H52" i="7" s="1"/>
  <c r="H70" i="7" s="1"/>
  <c r="H60" i="6"/>
  <c r="I45" i="7"/>
  <c r="E60" i="6"/>
  <c r="I36" i="6"/>
  <c r="I39" i="6" s="1"/>
  <c r="H41" i="6"/>
  <c r="H44" i="6" s="1"/>
  <c r="G41" i="6"/>
  <c r="K20" i="5"/>
  <c r="J33" i="5"/>
  <c r="D28" i="1"/>
  <c r="P23" i="1"/>
  <c r="D30" i="1"/>
  <c r="P30" i="1" s="1"/>
  <c r="I29" i="1"/>
  <c r="E80" i="7" l="1"/>
  <c r="E86" i="7"/>
  <c r="E87" i="7"/>
  <c r="E43" i="2"/>
  <c r="E44" i="2" s="1"/>
  <c r="E39" i="2"/>
  <c r="E68" i="6"/>
  <c r="F45" i="7"/>
  <c r="F52" i="7" s="1"/>
  <c r="F70" i="7" s="1"/>
  <c r="Q28" i="1"/>
  <c r="Q29" i="1"/>
  <c r="R22" i="1"/>
  <c r="F59" i="6" s="1"/>
  <c r="G82" i="7" s="1"/>
  <c r="G80" i="7" s="1"/>
  <c r="Q30" i="1"/>
  <c r="G68" i="6"/>
  <c r="I52" i="7"/>
  <c r="I70" i="7" s="1"/>
  <c r="H68" i="6"/>
  <c r="S22" i="1"/>
  <c r="D31" i="1"/>
  <c r="F60" i="6"/>
  <c r="G44" i="6"/>
  <c r="J36" i="6"/>
  <c r="J39" i="6" s="1"/>
  <c r="I41" i="6"/>
  <c r="L20" i="5"/>
  <c r="K33" i="5"/>
  <c r="P28" i="1"/>
  <c r="I31" i="1"/>
  <c r="J29" i="1"/>
  <c r="J31" i="1" s="1"/>
  <c r="F68" i="6" l="1"/>
  <c r="R28" i="1"/>
  <c r="R30" i="1"/>
  <c r="Q31" i="1"/>
  <c r="G59" i="6"/>
  <c r="H82" i="7" s="1"/>
  <c r="H80" i="7" s="1"/>
  <c r="S30" i="1"/>
  <c r="S29" i="1"/>
  <c r="S28" i="1"/>
  <c r="T22" i="1"/>
  <c r="I44" i="6"/>
  <c r="J41" i="6"/>
  <c r="J44" i="6" s="1"/>
  <c r="K36" i="6"/>
  <c r="K39" i="6" s="1"/>
  <c r="L33" i="5"/>
  <c r="M20" i="5"/>
  <c r="K29" i="1"/>
  <c r="R31" i="1" l="1"/>
  <c r="T29" i="1"/>
  <c r="T30" i="1"/>
  <c r="H59" i="6"/>
  <c r="I82" i="7" s="1"/>
  <c r="I80" i="7" s="1"/>
  <c r="T28" i="1"/>
  <c r="S31" i="1"/>
  <c r="L36" i="6"/>
  <c r="L39" i="6" s="1"/>
  <c r="K41" i="6"/>
  <c r="M33" i="5"/>
  <c r="N20" i="5"/>
  <c r="L29" i="1"/>
  <c r="L31" i="1" s="1"/>
  <c r="K31" i="1"/>
  <c r="T31" i="1" l="1"/>
  <c r="K44" i="6"/>
  <c r="L41" i="6"/>
  <c r="L44" i="6" s="1"/>
  <c r="M36" i="6"/>
  <c r="M39" i="6" s="1"/>
  <c r="O20" i="5"/>
  <c r="N33" i="5"/>
  <c r="M29" i="1"/>
  <c r="N36" i="6" l="1"/>
  <c r="N39" i="6" s="1"/>
  <c r="M41" i="6"/>
  <c r="M44" i="6" s="1"/>
  <c r="P20" i="5"/>
  <c r="P33" i="5" s="1"/>
  <c r="O33" i="5"/>
  <c r="M31" i="1"/>
  <c r="N29" i="1"/>
  <c r="N31" i="1" s="1"/>
  <c r="D35" i="5" l="1"/>
  <c r="D20" i="7" s="1"/>
  <c r="N41" i="6"/>
  <c r="N44" i="6" s="1"/>
  <c r="O36" i="6"/>
  <c r="O29" i="1"/>
  <c r="O31" i="1" s="1"/>
  <c r="P31" i="1" s="1"/>
  <c r="P24" i="1"/>
  <c r="D24" i="7" l="1"/>
  <c r="D34" i="7" s="1"/>
  <c r="D56" i="7"/>
  <c r="D60" i="7" s="1"/>
  <c r="D70" i="7" s="1"/>
  <c r="E67" i="6"/>
  <c r="O39" i="6"/>
  <c r="P39" i="6" s="1"/>
  <c r="P29" i="1"/>
  <c r="D77" i="7" l="1"/>
  <c r="D76" i="7"/>
  <c r="D71" i="7"/>
  <c r="F67" i="6"/>
  <c r="E70" i="6"/>
  <c r="E73" i="6" s="1"/>
  <c r="O41" i="6"/>
  <c r="P41" i="6" s="1"/>
  <c r="F70" i="6" l="1"/>
  <c r="F73" i="6" s="1"/>
  <c r="G67" i="6"/>
  <c r="E71" i="7"/>
  <c r="F71" i="7" s="1"/>
  <c r="O44" i="6"/>
  <c r="D50" i="6"/>
  <c r="H67" i="6" l="1"/>
  <c r="G70" i="6"/>
  <c r="G73" i="6" s="1"/>
  <c r="G71" i="7"/>
  <c r="H71" i="7" s="1"/>
  <c r="I71" i="7" s="1"/>
  <c r="D75" i="7"/>
  <c r="D51" i="6"/>
  <c r="P44" i="6"/>
  <c r="H70" i="6" l="1"/>
  <c r="H73" i="6" s="1"/>
</calcChain>
</file>

<file path=xl/sharedStrings.xml><?xml version="1.0" encoding="utf-8"?>
<sst xmlns="http://schemas.openxmlformats.org/spreadsheetml/2006/main" count="304" uniqueCount="203">
  <si>
    <t>Escrituras</t>
  </si>
  <si>
    <t>Anual 2019</t>
  </si>
  <si>
    <t>Mensual 2019</t>
  </si>
  <si>
    <t>TC</t>
  </si>
  <si>
    <t xml:space="preserve">Escrituras CABA </t>
  </si>
  <si>
    <t>Escrituras GBA</t>
  </si>
  <si>
    <t>Alquileres</t>
  </si>
  <si>
    <t>Alquileres CABA</t>
  </si>
  <si>
    <t>Alquileres GBA</t>
  </si>
  <si>
    <t>*Se mudan cada dos años. Contemplo el total dividido 24 meses</t>
  </si>
  <si>
    <t>Mercado</t>
  </si>
  <si>
    <t>Anual</t>
  </si>
  <si>
    <t>Mes</t>
  </si>
  <si>
    <t>Incremento mercado</t>
  </si>
  <si>
    <t>CABA + GBA</t>
  </si>
  <si>
    <t>Otras plazas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</si>
  <si>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</si>
  <si>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</si>
  <si>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</si>
  <si>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</si>
  <si>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</si>
  <si>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</si>
  <si>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</si>
  <si>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</si>
  <si>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</si>
  <si>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</si>
  <si>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</si>
  <si>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</si>
  <si>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Año 1</t>
  </si>
  <si>
    <t>Total Año 2</t>
  </si>
  <si>
    <t>Total Año 3</t>
  </si>
  <si>
    <t>Mercado Potencial</t>
  </si>
  <si>
    <t>Captura Mercado</t>
  </si>
  <si>
    <t>Q</t>
  </si>
  <si>
    <t>Cool</t>
  </si>
  <si>
    <t>Comfort</t>
  </si>
  <si>
    <t>Prestige</t>
  </si>
  <si>
    <t>Revenue por servicio</t>
  </si>
  <si>
    <t>Revenue Total</t>
  </si>
  <si>
    <t>TOTAL REVENUE Moovers</t>
  </si>
  <si>
    <t>Revenue Share Fletes</t>
  </si>
  <si>
    <t>Revenue Share Seguros</t>
  </si>
  <si>
    <t>Seguro 2%</t>
  </si>
  <si>
    <t>Revenue Promedio</t>
  </si>
  <si>
    <t>R. S Seguros 10%</t>
  </si>
  <si>
    <t>Revenue Share SVA</t>
  </si>
  <si>
    <t>SVAS 20%</t>
  </si>
  <si>
    <t>R. S SVA 10%</t>
  </si>
  <si>
    <t>Seguro 1%</t>
  </si>
  <si>
    <t>Fee 12%</t>
  </si>
  <si>
    <t>Fee 14%</t>
  </si>
  <si>
    <t>Fee 16%</t>
  </si>
  <si>
    <t>Fee Flete</t>
  </si>
  <si>
    <t>Fee Seguros</t>
  </si>
  <si>
    <t>Fee SVA</t>
  </si>
  <si>
    <t>(Q) Transacciones</t>
  </si>
  <si>
    <t>(P) Ticket Promedio USD</t>
  </si>
  <si>
    <t>(P*Q) Volumen</t>
  </si>
  <si>
    <t>(Q) Transacciones Total</t>
  </si>
  <si>
    <t>(P*Q) Total</t>
  </si>
  <si>
    <t>Ingresos (Comisiones)</t>
  </si>
  <si>
    <t>Total Revenues</t>
  </si>
  <si>
    <t>Costo de Ventas (IVA y Tasas)</t>
  </si>
  <si>
    <t>IVA 21%</t>
  </si>
  <si>
    <t>Comisiones Gateway</t>
  </si>
  <si>
    <t>Total</t>
  </si>
  <si>
    <t>Margen Bruto</t>
  </si>
  <si>
    <t>PPP</t>
  </si>
  <si>
    <t>CVPP</t>
  </si>
  <si>
    <t>Contr. Marg</t>
  </si>
  <si>
    <t>Escnerio conservador</t>
  </si>
  <si>
    <t xml:space="preserve">(P*Q) Volumen </t>
  </si>
  <si>
    <t xml:space="preserve">(P) Ticket Promedio USD </t>
  </si>
  <si>
    <t xml:space="preserve">(Q) Transacciones </t>
  </si>
  <si>
    <t>Comisión 12%</t>
  </si>
  <si>
    <t>Comisión 14%</t>
  </si>
  <si>
    <t>Comisión 16%</t>
  </si>
  <si>
    <t>Volumen Fletes</t>
  </si>
  <si>
    <t>Ingresos Seguros</t>
  </si>
  <si>
    <t>Fee Seguros  10%</t>
  </si>
  <si>
    <t>Fee SVAs  20%</t>
  </si>
  <si>
    <t>Ingresos SVA</t>
  </si>
  <si>
    <t>SIMULADOR VOLUMEN  (mensual)</t>
  </si>
  <si>
    <t>RRHH</t>
  </si>
  <si>
    <t>Marca + Brandbook</t>
  </si>
  <si>
    <t>Tasa de Crec. Ventas</t>
  </si>
  <si>
    <t>Cantidad Total</t>
  </si>
  <si>
    <t>Inversion Inicial</t>
  </si>
  <si>
    <t>TIR</t>
  </si>
  <si>
    <t>Intereses</t>
  </si>
  <si>
    <t>Q Pack Cool</t>
  </si>
  <si>
    <t>Q Pack Comfort</t>
  </si>
  <si>
    <t>Q Pack Prestige</t>
  </si>
  <si>
    <t>Ventas Mudanza</t>
  </si>
  <si>
    <t>Ventas Seguros</t>
  </si>
  <si>
    <t>Ventas SVAs</t>
  </si>
  <si>
    <t>Servicios Contables, Juridico y Legales</t>
  </si>
  <si>
    <t>TOTAL</t>
  </si>
  <si>
    <t>Desarrollo Web + App</t>
  </si>
  <si>
    <t>INVERSION INICIAL - Operaciones Año 1</t>
  </si>
  <si>
    <t>NOTA: no contemplo costos variables</t>
  </si>
  <si>
    <t>GASTOS</t>
  </si>
  <si>
    <t>Inversión Inicial</t>
  </si>
  <si>
    <t>Empleados directos</t>
  </si>
  <si>
    <t>Servicios</t>
  </si>
  <si>
    <t>Internet</t>
  </si>
  <si>
    <t>Marketing</t>
  </si>
  <si>
    <t>Campañas Online</t>
  </si>
  <si>
    <t>TOTAL GASTOS</t>
  </si>
  <si>
    <t>TOTAL INVERSION AÑO 1</t>
  </si>
  <si>
    <t>INVERSION INICIAL - Detalle</t>
  </si>
  <si>
    <t>CONCEPTO</t>
  </si>
  <si>
    <t>MONTO</t>
  </si>
  <si>
    <t>Tecnología (Plataforma &amp; Hosting)</t>
  </si>
  <si>
    <t>Campaña ATL</t>
  </si>
  <si>
    <t>Prensa</t>
  </si>
  <si>
    <t>Alianzas</t>
  </si>
  <si>
    <t>INGRESOS</t>
  </si>
  <si>
    <t>TOTAL INGRESOS</t>
  </si>
  <si>
    <t>DETALLE DE COSTOS</t>
  </si>
  <si>
    <t>COSTOS VARIABLES</t>
  </si>
  <si>
    <t>IIBB</t>
  </si>
  <si>
    <t>TOTAL COSTOS VARIABLES</t>
  </si>
  <si>
    <t>COSTOS FIJOS</t>
  </si>
  <si>
    <t>TOTAL COSTOS FIJOS</t>
  </si>
  <si>
    <t>TOTAL COSTOS</t>
  </si>
  <si>
    <t>UTILIDAD</t>
  </si>
  <si>
    <t>TOTALES del Año 1</t>
  </si>
  <si>
    <t>GASTOS en Operaciones</t>
  </si>
  <si>
    <t>EGRESOS</t>
  </si>
  <si>
    <t>TOTAL EGRESOS</t>
  </si>
  <si>
    <t>Consideraciones</t>
  </si>
  <si>
    <t>Comisión Fuerza de Ventas</t>
  </si>
  <si>
    <t>Cantidad Ventas</t>
  </si>
  <si>
    <t>Ingresos</t>
  </si>
  <si>
    <t>TOTAL Año 1</t>
  </si>
  <si>
    <t>Fuerza de Ventas</t>
  </si>
  <si>
    <t>El primer año se realiza en lanzamiento en CABA y GBA.</t>
  </si>
  <si>
    <t>Fuerte inversión en marketing, con mayor SOV (share of voice) los primeros meses para generar awareness</t>
  </si>
  <si>
    <t>En el segundo año, se agregan plazas (Córdoba, Rosario, Mendoza, Mar del Plata) por lo que se incrementa la inversión en marketing así como los recursos humanos contratados</t>
  </si>
  <si>
    <t>FLUJO DE CAJA - Año 1</t>
  </si>
  <si>
    <t>FLUJO DE OPERACIONES</t>
  </si>
  <si>
    <t>TOTAL Flujo de Operaciones</t>
  </si>
  <si>
    <t>FLUJO DE INVERSIONES</t>
  </si>
  <si>
    <t>TOTAL Flujo de Inversiones</t>
  </si>
  <si>
    <t>FLUJO FINANCIERO</t>
  </si>
  <si>
    <t>Prestamos</t>
  </si>
  <si>
    <t>TOTAL Flujo Financiero</t>
  </si>
  <si>
    <t>FLUJO DE FONDOS</t>
  </si>
  <si>
    <t>Mejora de Plataforma</t>
  </si>
  <si>
    <t>Venta de Plataforma</t>
  </si>
  <si>
    <t>Tasa de Descuento</t>
  </si>
  <si>
    <t>Payback</t>
  </si>
  <si>
    <t>VAN</t>
  </si>
  <si>
    <t>FLUJO DE FONDOS ACUMULADO</t>
  </si>
  <si>
    <t>Total Año 4</t>
  </si>
  <si>
    <t>Total Año 5</t>
  </si>
  <si>
    <t>FLUJO DE FONDOS  - Primeros 5 años</t>
  </si>
  <si>
    <t>Años</t>
  </si>
  <si>
    <t>Costo por adquisición</t>
  </si>
  <si>
    <t>Costo MKT y Ventas</t>
  </si>
  <si>
    <t>Cantidad clientes</t>
  </si>
  <si>
    <t>Inquilinos (se mudan cada 2 años)</t>
  </si>
  <si>
    <t>3 mudanzas</t>
  </si>
  <si>
    <t>1 mudanza</t>
  </si>
  <si>
    <t>Life Time value - Clientes a 5 años</t>
  </si>
  <si>
    <t>Propietarios (se mudan cada 7 años)</t>
  </si>
  <si>
    <t>Plan de Implementación</t>
  </si>
  <si>
    <t>3Q</t>
  </si>
  <si>
    <t>4Q</t>
  </si>
  <si>
    <t>1Q</t>
  </si>
  <si>
    <t>2Q</t>
  </si>
  <si>
    <t>Validación Idea de Negocio</t>
  </si>
  <si>
    <t>Desarrollo Propuesta de Valor</t>
  </si>
  <si>
    <t>Prototipado Producto</t>
  </si>
  <si>
    <t>Estrategia y roadmap</t>
  </si>
  <si>
    <t>Constitución de Sociedad</t>
  </si>
  <si>
    <t xml:space="preserve">Contratación CTO </t>
  </si>
  <si>
    <t>Contratación DevOps</t>
  </si>
  <si>
    <t>Desarrollo Plataforma</t>
  </si>
  <si>
    <t>Release iOS Backend</t>
  </si>
  <si>
    <t>Contratación Gte Comercial</t>
  </si>
  <si>
    <t>Campaña Recruitment Moovers</t>
  </si>
  <si>
    <t>Definición Idea de Negocio</t>
  </si>
  <si>
    <t>Análisis del entorno</t>
  </si>
  <si>
    <t>Lanzamiento del piloto</t>
  </si>
  <si>
    <t>Campaña digital específica</t>
  </si>
  <si>
    <t>Testing y desarrollo</t>
  </si>
  <si>
    <t>Campaña online</t>
  </si>
  <si>
    <t>Lanzamiento masivo Primary Target</t>
  </si>
  <si>
    <t>Lanzamiento Secondary Target</t>
  </si>
  <si>
    <t>Lanzamiento Tertiary Target</t>
  </si>
  <si>
    <t>Desembarco en nuevas plazas</t>
  </si>
  <si>
    <t xml:space="preserve">Release App Android </t>
  </si>
  <si>
    <t xml:space="preserve">Release Web Backend </t>
  </si>
  <si>
    <t>Desarrollo Plataforma Front-end</t>
  </si>
  <si>
    <t>Desarrollo Plataforma Back-end</t>
  </si>
  <si>
    <t>*No contempla estacionalidad de demanda</t>
  </si>
  <si>
    <t>Clientes</t>
  </si>
  <si>
    <t>PROYECCIÓN DE UTILIDAD - Primeros 5 años</t>
  </si>
  <si>
    <t>PROYECCIÓN DE UTILIDAD - Año 1</t>
  </si>
  <si>
    <t>Ing Neto</t>
  </si>
  <si>
    <t>Lifetime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</si>
</sst>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(* #,##0.0_);_(* \(#,##0.0\);_(* &quot;-&quot;??_);_(@_)"/>
    <numFmt numFmtId="169" formatCode="_-&quot;$&quot;\ * #,##0.0_-;\-&quot;$&quot;\ * #,##0.0_-;_-&quot;$&quot;\ * &quot;-&quot;??_-;_-@_-"/>
    <numFmt numFmtId="170" formatCode="0.0%"/>
    <numFmt numFmtId="171" formatCode="0.0"/>
    <numFmt numFmtId="172" formatCode="&quot;$&quot;\ #,##0"/>
    <numFmt numFmtId="173" formatCode="&quot;$&quot;\ #,##0.00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75623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4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Arial"/>
      <family val="2"/>
    </font>
    <font>
      <b/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9">
    <xf numFmtId="0" fontId="0" fillId="0" borderId="0" xfId="0"/>
    <xf numFmtId="0" fontId="3" fillId="2" borderId="4" xfId="0" applyFont="1" applyFill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0" fontId="0" fillId="0" borderId="6" xfId="0" applyBorder="1"/>
    <xf numFmtId="1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9" xfId="0" applyBorder="1"/>
    <xf numFmtId="0" fontId="0" fillId="3" borderId="0" xfId="0" applyFill="1"/>
    <xf numFmtId="0" fontId="2" fillId="0" borderId="0" xfId="0" applyFont="1"/>
    <xf numFmtId="165" fontId="2" fillId="6" borderId="0" xfId="0" applyNumberFormat="1" applyFont="1" applyFill="1" applyAlignment="1">
      <alignment horizontal="center" vertical="center"/>
    </xf>
    <xf numFmtId="165" fontId="0" fillId="0" borderId="0" xfId="0" applyNumberFormat="1"/>
    <xf numFmtId="9" fontId="0" fillId="2" borderId="0" xfId="0" applyNumberFormat="1" applyFill="1" applyAlignment="1">
      <alignment horizontal="center"/>
    </xf>
    <xf numFmtId="165" fontId="0" fillId="0" borderId="0" xfId="1" applyNumberFormat="1" applyFont="1" applyAlignment="1">
      <alignment horizontal="center"/>
    </xf>
    <xf numFmtId="9" fontId="2" fillId="0" borderId="4" xfId="0" applyNumberFormat="1" applyFont="1" applyBorder="1" applyAlignment="1">
      <alignment horizontal="center"/>
    </xf>
    <xf numFmtId="165" fontId="0" fillId="0" borderId="15" xfId="1" applyNumberFormat="1" applyFont="1" applyBorder="1"/>
    <xf numFmtId="165" fontId="0" fillId="0" borderId="0" xfId="1" applyNumberFormat="1" applyFont="1"/>
    <xf numFmtId="165" fontId="0" fillId="0" borderId="15" xfId="0" applyNumberFormat="1" applyBorder="1"/>
    <xf numFmtId="0" fontId="5" fillId="2" borderId="0" xfId="0" applyFont="1" applyFill="1"/>
    <xf numFmtId="0" fontId="0" fillId="0" borderId="4" xfId="0" applyBorder="1"/>
    <xf numFmtId="1" fontId="2" fillId="0" borderId="1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horizontal="center" vertical="center"/>
    </xf>
    <xf numFmtId="6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164" fontId="0" fillId="0" borderId="0" xfId="1" applyFont="1"/>
    <xf numFmtId="9" fontId="0" fillId="0" borderId="0" xfId="0" applyNumberFormat="1"/>
    <xf numFmtId="0" fontId="6" fillId="7" borderId="0" xfId="0" applyFont="1" applyFill="1"/>
    <xf numFmtId="0" fontId="6" fillId="7" borderId="19" xfId="0" applyFont="1" applyFill="1" applyBorder="1"/>
    <xf numFmtId="0" fontId="6" fillId="7" borderId="0" xfId="0" applyFont="1" applyFill="1" applyAlignment="1">
      <alignment horizontal="center"/>
    </xf>
    <xf numFmtId="0" fontId="6" fillId="7" borderId="23" xfId="0" applyFont="1" applyFill="1" applyBorder="1"/>
    <xf numFmtId="9" fontId="9" fillId="7" borderId="22" xfId="0" applyNumberFormat="1" applyFont="1" applyFill="1" applyBorder="1" applyAlignment="1">
      <alignment horizontal="center" vertical="center"/>
    </xf>
    <xf numFmtId="167" fontId="6" fillId="7" borderId="27" xfId="0" applyNumberFormat="1" applyFont="1" applyFill="1" applyBorder="1" applyAlignment="1">
      <alignment horizontal="center" vertical="center"/>
    </xf>
    <xf numFmtId="167" fontId="6" fillId="7" borderId="0" xfId="0" applyNumberFormat="1" applyFont="1" applyFill="1"/>
    <xf numFmtId="168" fontId="6" fillId="7" borderId="0" xfId="0" applyNumberFormat="1" applyFont="1" applyFill="1"/>
    <xf numFmtId="0" fontId="9" fillId="7" borderId="19" xfId="0" applyFont="1" applyFill="1" applyBorder="1" applyAlignment="1">
      <alignment horizontal="center" vertical="center"/>
    </xf>
    <xf numFmtId="169" fontId="6" fillId="7" borderId="28" xfId="0" applyNumberFormat="1" applyFont="1" applyFill="1" applyBorder="1" applyAlignment="1">
      <alignment horizontal="center" vertical="center"/>
    </xf>
    <xf numFmtId="9" fontId="9" fillId="7" borderId="19" xfId="0" applyNumberFormat="1" applyFont="1" applyFill="1" applyBorder="1" applyAlignment="1">
      <alignment horizontal="center" vertical="center"/>
    </xf>
    <xf numFmtId="167" fontId="6" fillId="7" borderId="28" xfId="0" applyNumberFormat="1" applyFont="1" applyFill="1" applyBorder="1" applyAlignment="1">
      <alignment horizontal="center" vertical="center"/>
    </xf>
    <xf numFmtId="0" fontId="7" fillId="8" borderId="21" xfId="0" applyFont="1" applyFill="1" applyBorder="1"/>
    <xf numFmtId="9" fontId="10" fillId="8" borderId="20" xfId="0" applyNumberFormat="1" applyFont="1" applyFill="1" applyBorder="1" applyAlignment="1">
      <alignment horizontal="center" vertical="center"/>
    </xf>
    <xf numFmtId="167" fontId="7" fillId="8" borderId="29" xfId="0" applyNumberFormat="1" applyFont="1" applyFill="1" applyBorder="1" applyAlignment="1">
      <alignment horizontal="center" vertical="center"/>
    </xf>
    <xf numFmtId="167" fontId="7" fillId="7" borderId="27" xfId="0" applyNumberFormat="1" applyFont="1" applyFill="1" applyBorder="1" applyAlignment="1">
      <alignment horizontal="center" vertical="center"/>
    </xf>
    <xf numFmtId="0" fontId="7" fillId="9" borderId="21" xfId="0" applyFont="1" applyFill="1" applyBorder="1"/>
    <xf numFmtId="9" fontId="10" fillId="9" borderId="20" xfId="0" applyNumberFormat="1" applyFont="1" applyFill="1" applyBorder="1" applyAlignment="1">
      <alignment horizontal="center" vertical="center"/>
    </xf>
    <xf numFmtId="0" fontId="6" fillId="7" borderId="28" xfId="0" applyFont="1" applyFill="1" applyBorder="1"/>
    <xf numFmtId="0" fontId="7" fillId="7" borderId="19" xfId="0" applyFont="1" applyFill="1" applyBorder="1" applyAlignment="1">
      <alignment horizontal="center" vertical="center" wrapText="1"/>
    </xf>
    <xf numFmtId="0" fontId="7" fillId="7" borderId="0" xfId="0" applyFont="1" applyFill="1"/>
    <xf numFmtId="9" fontId="10" fillId="7" borderId="19" xfId="0" applyNumberFormat="1" applyFont="1" applyFill="1" applyBorder="1" applyAlignment="1">
      <alignment horizontal="center" vertical="center"/>
    </xf>
    <xf numFmtId="170" fontId="6" fillId="7" borderId="19" xfId="0" applyNumberFormat="1" applyFont="1" applyFill="1" applyBorder="1" applyAlignment="1">
      <alignment horizontal="center" vertical="center"/>
    </xf>
    <xf numFmtId="170" fontId="7" fillId="9" borderId="20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9" fontId="9" fillId="11" borderId="20" xfId="0" applyNumberFormat="1" applyFont="1" applyFill="1" applyBorder="1" applyAlignment="1">
      <alignment horizontal="center" vertical="center"/>
    </xf>
    <xf numFmtId="0" fontId="7" fillId="11" borderId="21" xfId="0" applyFont="1" applyFill="1" applyBorder="1"/>
    <xf numFmtId="167" fontId="7" fillId="11" borderId="29" xfId="0" applyNumberFormat="1" applyFont="1" applyFill="1" applyBorder="1" applyAlignment="1">
      <alignment horizontal="center" vertical="center"/>
    </xf>
    <xf numFmtId="165" fontId="7" fillId="9" borderId="29" xfId="0" applyNumberFormat="1" applyFont="1" applyFill="1" applyBorder="1" applyAlignment="1">
      <alignment horizontal="center" vertical="center"/>
    </xf>
    <xf numFmtId="9" fontId="6" fillId="7" borderId="22" xfId="0" applyNumberFormat="1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 vertical="center"/>
    </xf>
    <xf numFmtId="165" fontId="6" fillId="7" borderId="28" xfId="0" applyNumberFormat="1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31" xfId="0" applyFont="1" applyFill="1" applyBorder="1"/>
    <xf numFmtId="9" fontId="9" fillId="7" borderId="31" xfId="0" applyNumberFormat="1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 wrapText="1"/>
    </xf>
    <xf numFmtId="0" fontId="6" fillId="12" borderId="23" xfId="0" applyFont="1" applyFill="1" applyBorder="1"/>
    <xf numFmtId="9" fontId="10" fillId="12" borderId="22" xfId="0" applyNumberFormat="1" applyFont="1" applyFill="1" applyBorder="1" applyAlignment="1">
      <alignment horizontal="center" vertical="center"/>
    </xf>
    <xf numFmtId="0" fontId="6" fillId="12" borderId="27" xfId="0" applyNumberFormat="1" applyFont="1" applyFill="1" applyBorder="1" applyAlignment="1">
      <alignment horizontal="right" vertical="center"/>
    </xf>
    <xf numFmtId="0" fontId="6" fillId="12" borderId="0" xfId="0" applyFont="1" applyFill="1" applyBorder="1"/>
    <xf numFmtId="9" fontId="10" fillId="12" borderId="19" xfId="0" applyNumberFormat="1" applyFont="1" applyFill="1" applyBorder="1" applyAlignment="1">
      <alignment horizontal="center" vertical="center"/>
    </xf>
    <xf numFmtId="165" fontId="6" fillId="12" borderId="28" xfId="1" applyNumberFormat="1" applyFont="1" applyFill="1" applyBorder="1" applyAlignment="1">
      <alignment horizontal="right" vertical="center"/>
    </xf>
    <xf numFmtId="0" fontId="7" fillId="12" borderId="0" xfId="0" applyFont="1" applyFill="1" applyBorder="1"/>
    <xf numFmtId="165" fontId="7" fillId="12" borderId="28" xfId="0" applyNumberFormat="1" applyFont="1" applyFill="1" applyBorder="1" applyAlignment="1">
      <alignment horizontal="center" vertical="center"/>
    </xf>
    <xf numFmtId="165" fontId="6" fillId="7" borderId="27" xfId="0" applyNumberFormat="1" applyFont="1" applyFill="1" applyBorder="1" applyAlignment="1">
      <alignment horizontal="center" vertical="center"/>
    </xf>
    <xf numFmtId="165" fontId="6" fillId="7" borderId="32" xfId="0" applyNumberFormat="1" applyFont="1" applyFill="1" applyBorder="1" applyAlignment="1">
      <alignment horizontal="center" vertical="center"/>
    </xf>
    <xf numFmtId="165" fontId="7" fillId="7" borderId="28" xfId="0" applyNumberFormat="1" applyFont="1" applyFill="1" applyBorder="1" applyAlignment="1">
      <alignment horizontal="center" vertical="center"/>
    </xf>
    <xf numFmtId="165" fontId="6" fillId="7" borderId="27" xfId="0" applyNumberFormat="1" applyFont="1" applyFill="1" applyBorder="1"/>
    <xf numFmtId="165" fontId="7" fillId="7" borderId="30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164" fontId="11" fillId="14" borderId="1" xfId="1" applyFont="1" applyFill="1" applyBorder="1" applyAlignment="1"/>
    <xf numFmtId="0" fontId="12" fillId="2" borderId="3" xfId="0" applyFont="1" applyFill="1" applyBorder="1" applyAlignment="1">
      <alignment horizontal="center"/>
    </xf>
    <xf numFmtId="164" fontId="11" fillId="14" borderId="6" xfId="1" applyFont="1" applyFill="1" applyBorder="1"/>
    <xf numFmtId="164" fontId="11" fillId="14" borderId="8" xfId="0" applyNumberFormat="1" applyFont="1" applyFill="1" applyBorder="1"/>
    <xf numFmtId="0" fontId="12" fillId="2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14" borderId="0" xfId="0" applyFont="1" applyFill="1" applyBorder="1" applyAlignment="1"/>
    <xf numFmtId="0" fontId="14" fillId="15" borderId="0" xfId="0" applyFont="1" applyFill="1" applyBorder="1" applyAlignment="1">
      <alignment horizontal="center"/>
    </xf>
    <xf numFmtId="172" fontId="15" fillId="0" borderId="0" xfId="1" applyNumberFormat="1" applyFont="1" applyAlignment="1">
      <alignment vertical="center"/>
    </xf>
    <xf numFmtId="0" fontId="16" fillId="13" borderId="0" xfId="0" applyFont="1" applyFill="1" applyAlignment="1">
      <alignment vertical="center"/>
    </xf>
    <xf numFmtId="172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1" fillId="0" borderId="0" xfId="1" applyNumberFormat="1" applyAlignment="1">
      <alignment vertical="center"/>
    </xf>
    <xf numFmtId="173" fontId="0" fillId="0" borderId="0" xfId="0" applyNumberFormat="1" applyAlignment="1">
      <alignment vertical="center"/>
    </xf>
    <xf numFmtId="0" fontId="1" fillId="0" borderId="0" xfId="1" applyNumberFormat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15" borderId="0" xfId="0" applyFont="1" applyFill="1" applyAlignment="1">
      <alignment vertical="center"/>
    </xf>
    <xf numFmtId="0" fontId="23" fillId="15" borderId="0" xfId="0" applyFont="1" applyFill="1" applyAlignment="1">
      <alignment vertical="center"/>
    </xf>
    <xf numFmtId="0" fontId="24" fillId="15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6" fillId="13" borderId="0" xfId="0" applyFont="1" applyFill="1" applyAlignment="1">
      <alignment vertical="center"/>
    </xf>
    <xf numFmtId="0" fontId="20" fillId="14" borderId="0" xfId="0" applyFont="1" applyFill="1" applyAlignment="1">
      <alignment vertical="center"/>
    </xf>
    <xf numFmtId="0" fontId="0" fillId="14" borderId="0" xfId="0" applyFill="1"/>
    <xf numFmtId="0" fontId="19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13" fillId="0" borderId="0" xfId="0" applyFont="1" applyAlignment="1">
      <alignment vertical="center"/>
    </xf>
    <xf numFmtId="173" fontId="15" fillId="0" borderId="0" xfId="0" applyNumberFormat="1" applyFont="1" applyAlignment="1">
      <alignment vertical="center"/>
    </xf>
    <xf numFmtId="172" fontId="15" fillId="0" borderId="9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9" xfId="0" applyFont="1" applyBorder="1" applyAlignment="1">
      <alignment vertical="center"/>
    </xf>
    <xf numFmtId="0" fontId="27" fillId="0" borderId="0" xfId="0" applyFont="1" applyAlignment="1">
      <alignment vertical="center"/>
    </xf>
    <xf numFmtId="172" fontId="29" fillId="0" borderId="0" xfId="1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5" fillId="15" borderId="0" xfId="0" applyFont="1" applyFill="1" applyAlignment="1">
      <alignment vertical="center"/>
    </xf>
    <xf numFmtId="172" fontId="15" fillId="15" borderId="0" xfId="1" applyNumberFormat="1" applyFont="1" applyFill="1" applyAlignment="1">
      <alignment vertical="center"/>
    </xf>
    <xf numFmtId="0" fontId="15" fillId="15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172" fontId="15" fillId="14" borderId="0" xfId="1" applyNumberFormat="1" applyFont="1" applyFill="1" applyAlignment="1">
      <alignment vertical="center"/>
    </xf>
    <xf numFmtId="0" fontId="15" fillId="14" borderId="0" xfId="0" applyFont="1" applyFill="1" applyAlignment="1">
      <alignment vertical="center"/>
    </xf>
    <xf numFmtId="172" fontId="29" fillId="14" borderId="0" xfId="1" applyNumberFormat="1" applyFont="1" applyFill="1" applyAlignment="1">
      <alignment vertical="center"/>
    </xf>
    <xf numFmtId="169" fontId="32" fillId="14" borderId="0" xfId="1" applyNumberFormat="1" applyFont="1" applyFill="1" applyBorder="1"/>
    <xf numFmtId="169" fontId="32" fillId="14" borderId="0" xfId="1" applyNumberFormat="1" applyFont="1" applyFill="1" applyBorder="1" applyAlignment="1">
      <alignment horizontal="left"/>
    </xf>
    <xf numFmtId="169" fontId="15" fillId="14" borderId="0" xfId="1" applyNumberFormat="1" applyFont="1" applyFill="1" applyBorder="1"/>
    <xf numFmtId="9" fontId="15" fillId="0" borderId="5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9" fontId="25" fillId="14" borderId="0" xfId="1" applyNumberFormat="1" applyFont="1" applyFill="1" applyBorder="1"/>
    <xf numFmtId="172" fontId="24" fillId="0" borderId="0" xfId="0" applyNumberFormat="1" applyFont="1" applyAlignment="1">
      <alignment vertical="center"/>
    </xf>
    <xf numFmtId="172" fontId="27" fillId="0" borderId="0" xfId="1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72" fontId="15" fillId="2" borderId="0" xfId="1" applyNumberFormat="1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right" vertical="center"/>
    </xf>
    <xf numFmtId="9" fontId="15" fillId="14" borderId="0" xfId="0" applyNumberFormat="1" applyFont="1" applyFill="1" applyAlignment="1">
      <alignment vertical="center"/>
    </xf>
    <xf numFmtId="165" fontId="15" fillId="0" borderId="0" xfId="1" applyNumberFormat="1" applyFont="1" applyAlignment="1">
      <alignment horizontal="right" vertical="center"/>
    </xf>
    <xf numFmtId="165" fontId="24" fillId="0" borderId="0" xfId="0" applyNumberFormat="1" applyFont="1" applyAlignment="1">
      <alignment horizontal="right" vertical="center"/>
    </xf>
    <xf numFmtId="172" fontId="15" fillId="14" borderId="0" xfId="1" applyNumberFormat="1" applyFont="1" applyFill="1" applyAlignment="1">
      <alignment horizontal="right" vertical="center"/>
    </xf>
    <xf numFmtId="9" fontId="32" fillId="14" borderId="0" xfId="2" applyFont="1" applyFill="1" applyAlignment="1">
      <alignment horizontal="right" vertical="center"/>
    </xf>
    <xf numFmtId="1" fontId="32" fillId="14" borderId="0" xfId="3" applyNumberFormat="1" applyFont="1" applyFill="1" applyBorder="1" applyAlignment="1">
      <alignment horizontal="right"/>
    </xf>
    <xf numFmtId="165" fontId="29" fillId="0" borderId="0" xfId="1" applyNumberFormat="1" applyFont="1" applyAlignment="1">
      <alignment horizontal="right" vertical="center"/>
    </xf>
    <xf numFmtId="165" fontId="27" fillId="0" borderId="0" xfId="1" applyNumberFormat="1" applyFont="1" applyAlignment="1">
      <alignment horizontal="right" vertical="center"/>
    </xf>
    <xf numFmtId="169" fontId="25" fillId="14" borderId="9" xfId="1" applyNumberFormat="1" applyFont="1" applyFill="1" applyBorder="1"/>
    <xf numFmtId="169" fontId="15" fillId="14" borderId="9" xfId="1" applyNumberFormat="1" applyFont="1" applyFill="1" applyBorder="1"/>
    <xf numFmtId="165" fontId="29" fillId="0" borderId="9" xfId="1" applyNumberFormat="1" applyFont="1" applyBorder="1" applyAlignment="1">
      <alignment horizontal="right" vertical="center"/>
    </xf>
    <xf numFmtId="165" fontId="15" fillId="0" borderId="9" xfId="1" applyNumberFormat="1" applyFont="1" applyBorder="1" applyAlignment="1">
      <alignment horizontal="right" vertical="center"/>
    </xf>
    <xf numFmtId="172" fontId="34" fillId="0" borderId="0" xfId="1" applyNumberFormat="1" applyFont="1" applyAlignment="1">
      <alignment vertical="center"/>
    </xf>
    <xf numFmtId="172" fontId="34" fillId="0" borderId="0" xfId="0" applyNumberFormat="1" applyFont="1" applyAlignment="1">
      <alignment vertical="center"/>
    </xf>
    <xf numFmtId="3" fontId="32" fillId="14" borderId="0" xfId="3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 vertical="center"/>
    </xf>
    <xf numFmtId="3" fontId="25" fillId="14" borderId="9" xfId="3" applyNumberFormat="1" applyFont="1" applyFill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/>
    </xf>
    <xf numFmtId="17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2" fontId="34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vertical="center"/>
    </xf>
    <xf numFmtId="166" fontId="15" fillId="0" borderId="0" xfId="1" applyNumberFormat="1" applyFont="1" applyAlignment="1">
      <alignment vertical="center"/>
    </xf>
    <xf numFmtId="166" fontId="15" fillId="14" borderId="0" xfId="3" applyNumberFormat="1" applyFont="1" applyFill="1" applyBorder="1" applyAlignment="1">
      <alignment horizontal="right"/>
    </xf>
    <xf numFmtId="166" fontId="15" fillId="14" borderId="0" xfId="1" applyNumberFormat="1" applyFont="1" applyFill="1" applyAlignment="1">
      <alignment vertical="center"/>
    </xf>
    <xf numFmtId="166" fontId="24" fillId="14" borderId="0" xfId="3" applyNumberFormat="1" applyFont="1" applyFill="1" applyBorder="1" applyAlignment="1">
      <alignment horizontal="right"/>
    </xf>
    <xf numFmtId="172" fontId="24" fillId="0" borderId="0" xfId="1" applyNumberFormat="1" applyFont="1" applyAlignment="1">
      <alignment vertical="center"/>
    </xf>
    <xf numFmtId="172" fontId="24" fillId="4" borderId="0" xfId="0" applyNumberFormat="1" applyFont="1" applyFill="1" applyBorder="1" applyAlignment="1">
      <alignment vertical="center"/>
    </xf>
    <xf numFmtId="172" fontId="24" fillId="4" borderId="0" xfId="1" applyNumberFormat="1" applyFont="1" applyFill="1" applyAlignment="1">
      <alignment vertical="center"/>
    </xf>
    <xf numFmtId="172" fontId="24" fillId="4" borderId="0" xfId="0" applyNumberFormat="1" applyFont="1" applyFill="1" applyAlignment="1">
      <alignment vertical="center"/>
    </xf>
    <xf numFmtId="44" fontId="15" fillId="14" borderId="0" xfId="0" applyNumberFormat="1" applyFont="1" applyFill="1" applyAlignment="1">
      <alignment vertical="center"/>
    </xf>
    <xf numFmtId="166" fontId="24" fillId="14" borderId="0" xfId="1" applyNumberFormat="1" applyFont="1" applyFill="1" applyAlignment="1">
      <alignment vertical="center"/>
    </xf>
    <xf numFmtId="166" fontId="24" fillId="15" borderId="0" xfId="1" applyNumberFormat="1" applyFont="1" applyFill="1" applyAlignment="1">
      <alignment vertical="center"/>
    </xf>
    <xf numFmtId="166" fontId="24" fillId="15" borderId="0" xfId="0" applyNumberFormat="1" applyFont="1" applyFill="1" applyAlignment="1">
      <alignment vertical="center"/>
    </xf>
    <xf numFmtId="166" fontId="15" fillId="14" borderId="0" xfId="0" applyNumberFormat="1" applyFont="1" applyFill="1" applyAlignment="1">
      <alignment vertical="center"/>
    </xf>
    <xf numFmtId="44" fontId="24" fillId="14" borderId="0" xfId="0" applyNumberFormat="1" applyFont="1" applyFill="1" applyAlignment="1">
      <alignment vertical="center"/>
    </xf>
    <xf numFmtId="166" fontId="24" fillId="14" borderId="0" xfId="0" applyNumberFormat="1" applyFont="1" applyFill="1" applyAlignment="1">
      <alignment vertical="center"/>
    </xf>
    <xf numFmtId="0" fontId="25" fillId="5" borderId="0" xfId="0" applyFont="1" applyFill="1" applyAlignment="1">
      <alignment vertical="center"/>
    </xf>
    <xf numFmtId="166" fontId="15" fillId="5" borderId="0" xfId="0" applyNumberFormat="1" applyFont="1" applyFill="1" applyAlignment="1">
      <alignment vertical="center"/>
    </xf>
    <xf numFmtId="166" fontId="24" fillId="5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166" fontId="35" fillId="14" borderId="0" xfId="0" applyNumberFormat="1" applyFont="1" applyFill="1" applyAlignment="1">
      <alignment vertical="center"/>
    </xf>
    <xf numFmtId="0" fontId="36" fillId="2" borderId="1" xfId="0" applyFont="1" applyFill="1" applyBorder="1" applyAlignment="1">
      <alignment vertical="center"/>
    </xf>
    <xf numFmtId="9" fontId="37" fillId="0" borderId="2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171" fontId="37" fillId="0" borderId="0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left" vertical="center"/>
    </xf>
    <xf numFmtId="0" fontId="36" fillId="2" borderId="8" xfId="0" applyFont="1" applyFill="1" applyBorder="1" applyAlignment="1">
      <alignment vertical="center"/>
    </xf>
    <xf numFmtId="165" fontId="15" fillId="0" borderId="0" xfId="1" applyNumberFormat="1" applyFont="1" applyAlignment="1">
      <alignment vertical="center"/>
    </xf>
    <xf numFmtId="165" fontId="32" fillId="0" borderId="0" xfId="1" applyNumberFormat="1" applyFont="1" applyAlignment="1">
      <alignment vertical="center"/>
    </xf>
    <xf numFmtId="165" fontId="32" fillId="0" borderId="2" xfId="1" applyNumberFormat="1" applyFont="1" applyBorder="1" applyAlignment="1">
      <alignment vertical="center"/>
    </xf>
    <xf numFmtId="166" fontId="15" fillId="0" borderId="0" xfId="0" applyNumberFormat="1" applyFont="1" applyAlignment="1">
      <alignment horizontal="right" vertical="center"/>
    </xf>
    <xf numFmtId="166" fontId="15" fillId="14" borderId="0" xfId="0" applyNumberFormat="1" applyFont="1" applyFill="1" applyAlignment="1">
      <alignment horizontal="center" vertical="center"/>
    </xf>
    <xf numFmtId="6" fontId="37" fillId="0" borderId="0" xfId="0" applyNumberFormat="1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9" fontId="37" fillId="0" borderId="9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15" fillId="0" borderId="0" xfId="0" applyFont="1"/>
    <xf numFmtId="165" fontId="15" fillId="0" borderId="0" xfId="1" applyNumberFormat="1" applyFont="1" applyAlignment="1">
      <alignment horizontal="center" vertical="center"/>
    </xf>
    <xf numFmtId="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15" fillId="3" borderId="0" xfId="0" applyFont="1" applyFill="1"/>
    <xf numFmtId="0" fontId="38" fillId="13" borderId="0" xfId="0" applyFont="1" applyFill="1" applyAlignment="1">
      <alignment horizontal="center"/>
    </xf>
    <xf numFmtId="1" fontId="24" fillId="4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/>
    <xf numFmtId="0" fontId="36" fillId="0" borderId="0" xfId="0" applyFont="1"/>
    <xf numFmtId="170" fontId="32" fillId="0" borderId="0" xfId="2" applyNumberFormat="1" applyFont="1" applyAlignment="1">
      <alignment horizontal="center"/>
    </xf>
    <xf numFmtId="9" fontId="32" fillId="0" borderId="12" xfId="0" applyNumberFormat="1" applyFont="1" applyBorder="1" applyAlignment="1">
      <alignment horizontal="center"/>
    </xf>
    <xf numFmtId="0" fontId="36" fillId="0" borderId="13" xfId="0" applyFont="1" applyBorder="1"/>
    <xf numFmtId="1" fontId="15" fillId="5" borderId="0" xfId="0" applyNumberFormat="1" applyFont="1" applyFill="1" applyAlignment="1">
      <alignment horizontal="center"/>
    </xf>
    <xf numFmtId="1" fontId="15" fillId="4" borderId="12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/>
    </xf>
    <xf numFmtId="0" fontId="39" fillId="0" borderId="0" xfId="0" applyFont="1"/>
    <xf numFmtId="9" fontId="1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center"/>
    </xf>
    <xf numFmtId="6" fontId="15" fillId="0" borderId="0" xfId="1" applyNumberFormat="1" applyFont="1" applyAlignment="1">
      <alignment horizontal="left" vertical="top"/>
    </xf>
    <xf numFmtId="165" fontId="15" fillId="0" borderId="0" xfId="0" applyNumberFormat="1" applyFont="1" applyAlignment="1">
      <alignment horizontal="center" vertical="center"/>
    </xf>
    <xf numFmtId="164" fontId="15" fillId="0" borderId="12" xfId="1" applyFont="1" applyBorder="1" applyAlignment="1">
      <alignment horizontal="center" vertical="center"/>
    </xf>
    <xf numFmtId="165" fontId="15" fillId="0" borderId="12" xfId="0" applyNumberFormat="1" applyFont="1" applyBorder="1"/>
    <xf numFmtId="165" fontId="24" fillId="6" borderId="0" xfId="0" applyNumberFormat="1" applyFont="1" applyFill="1" applyAlignment="1">
      <alignment horizontal="center" vertical="center"/>
    </xf>
    <xf numFmtId="164" fontId="24" fillId="4" borderId="12" xfId="1" applyFont="1" applyFill="1" applyBorder="1" applyAlignment="1">
      <alignment horizontal="center" vertical="center"/>
    </xf>
    <xf numFmtId="165" fontId="24" fillId="4" borderId="12" xfId="0" applyNumberFormat="1" applyFont="1" applyFill="1" applyBorder="1"/>
    <xf numFmtId="165" fontId="15" fillId="0" borderId="0" xfId="0" applyNumberFormat="1" applyFont="1"/>
    <xf numFmtId="165" fontId="15" fillId="0" borderId="12" xfId="1" applyNumberFormat="1" applyFont="1" applyBorder="1" applyAlignment="1">
      <alignment horizontal="center" vertical="center"/>
    </xf>
    <xf numFmtId="165" fontId="15" fillId="0" borderId="12" xfId="1" applyNumberFormat="1" applyFont="1" applyBorder="1"/>
    <xf numFmtId="0" fontId="39" fillId="0" borderId="13" xfId="0" applyFont="1" applyBorder="1"/>
    <xf numFmtId="165" fontId="24" fillId="6" borderId="0" xfId="0" applyNumberFormat="1" applyFont="1" applyFill="1"/>
    <xf numFmtId="165" fontId="36" fillId="2" borderId="12" xfId="1" applyNumberFormat="1" applyFont="1" applyFill="1" applyBorder="1" applyAlignment="1">
      <alignment horizontal="center" vertical="center"/>
    </xf>
    <xf numFmtId="165" fontId="36" fillId="2" borderId="12" xfId="0" applyNumberFormat="1" applyFont="1" applyFill="1" applyBorder="1"/>
    <xf numFmtId="165" fontId="24" fillId="6" borderId="0" xfId="1" applyNumberFormat="1" applyFont="1" applyFill="1"/>
    <xf numFmtId="165" fontId="36" fillId="2" borderId="12" xfId="1" applyNumberFormat="1" applyFont="1" applyFill="1" applyBorder="1" applyAlignment="1">
      <alignment vertical="center"/>
    </xf>
    <xf numFmtId="0" fontId="24" fillId="0" borderId="0" xfId="0" applyFont="1"/>
    <xf numFmtId="165" fontId="36" fillId="2" borderId="14" xfId="1" applyNumberFormat="1" applyFont="1" applyFill="1" applyBorder="1" applyAlignment="1">
      <alignment horizontal="center" vertical="center"/>
    </xf>
    <xf numFmtId="165" fontId="36" fillId="2" borderId="14" xfId="0" applyNumberFormat="1" applyFont="1" applyFill="1" applyBorder="1"/>
    <xf numFmtId="166" fontId="36" fillId="2" borderId="0" xfId="0" applyNumberFormat="1" applyFont="1" applyFill="1"/>
    <xf numFmtId="9" fontId="15" fillId="0" borderId="0" xfId="2" applyFont="1" applyAlignment="1">
      <alignment vertical="center"/>
    </xf>
    <xf numFmtId="0" fontId="24" fillId="15" borderId="0" xfId="0" applyFont="1" applyFill="1" applyAlignment="1">
      <alignment vertical="center"/>
    </xf>
    <xf numFmtId="169" fontId="24" fillId="15" borderId="0" xfId="1" applyNumberFormat="1" applyFont="1" applyFill="1" applyAlignment="1">
      <alignment horizontal="right" vertical="center"/>
    </xf>
    <xf numFmtId="1" fontId="0" fillId="0" borderId="0" xfId="2" applyNumberFormat="1" applyFont="1"/>
    <xf numFmtId="1" fontId="0" fillId="0" borderId="0" xfId="0" applyNumberFormat="1"/>
    <xf numFmtId="0" fontId="2" fillId="4" borderId="0" xfId="0" applyFont="1" applyFill="1" applyAlignment="1">
      <alignment horizontal="center"/>
    </xf>
    <xf numFmtId="0" fontId="40" fillId="13" borderId="0" xfId="0" applyFont="1" applyFill="1" applyAlignment="1"/>
    <xf numFmtId="0" fontId="0" fillId="0" borderId="13" xfId="0" applyBorder="1"/>
    <xf numFmtId="0" fontId="0" fillId="2" borderId="13" xfId="0" applyFill="1" applyBorder="1"/>
    <xf numFmtId="0" fontId="40" fillId="14" borderId="13" xfId="0" applyFont="1" applyFill="1" applyBorder="1" applyAlignment="1">
      <alignment horizontal="center"/>
    </xf>
    <xf numFmtId="0" fontId="15" fillId="0" borderId="13" xfId="0" applyFont="1" applyBorder="1"/>
    <xf numFmtId="0" fontId="15" fillId="2" borderId="13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0" fillId="0" borderId="14" xfId="0" applyBorder="1"/>
    <xf numFmtId="0" fontId="0" fillId="2" borderId="14" xfId="0" applyFill="1" applyBorder="1"/>
    <xf numFmtId="0" fontId="15" fillId="0" borderId="33" xfId="0" applyFont="1" applyBorder="1"/>
    <xf numFmtId="0" fontId="0" fillId="0" borderId="33" xfId="0" applyBorder="1"/>
    <xf numFmtId="0" fontId="0" fillId="2" borderId="33" xfId="0" applyFill="1" applyBorder="1"/>
    <xf numFmtId="0" fontId="15" fillId="0" borderId="33" xfId="0" applyFont="1" applyFill="1" applyBorder="1"/>
    <xf numFmtId="0" fontId="0" fillId="14" borderId="13" xfId="0" applyFill="1" applyBorder="1"/>
    <xf numFmtId="0" fontId="0" fillId="14" borderId="33" xfId="0" applyFill="1" applyBorder="1"/>
    <xf numFmtId="0" fontId="15" fillId="0" borderId="34" xfId="0" applyFont="1" applyFill="1" applyBorder="1"/>
    <xf numFmtId="0" fontId="0" fillId="0" borderId="34" xfId="0" applyBorder="1"/>
    <xf numFmtId="0" fontId="0" fillId="2" borderId="34" xfId="0" applyFill="1" applyBorder="1"/>
    <xf numFmtId="0" fontId="40" fillId="16" borderId="0" xfId="0" applyFont="1" applyFill="1" applyAlignment="1">
      <alignment horizontal="center"/>
    </xf>
    <xf numFmtId="0" fontId="0" fillId="0" borderId="35" xfId="0" applyBorder="1"/>
    <xf numFmtId="0" fontId="0" fillId="2" borderId="35" xfId="0" applyFill="1" applyBorder="1"/>
    <xf numFmtId="0" fontId="7" fillId="7" borderId="16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wrapText="1"/>
    </xf>
    <xf numFmtId="0" fontId="7" fillId="10" borderId="26" xfId="0" applyFont="1" applyFill="1" applyBorder="1" applyAlignment="1">
      <alignment horizontal="center" wrapText="1"/>
    </xf>
    <xf numFmtId="0" fontId="7" fillId="11" borderId="16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9" fontId="8" fillId="7" borderId="16" xfId="0" applyNumberFormat="1" applyFont="1" applyFill="1" applyBorder="1" applyAlignment="1">
      <alignment horizontal="center"/>
    </xf>
    <xf numFmtId="9" fontId="8" fillId="7" borderId="1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8" fillId="13" borderId="0" xfId="0" applyFont="1" applyFill="1" applyAlignment="1">
      <alignment horizontal="center" vertical="center"/>
    </xf>
    <xf numFmtId="0" fontId="40" fillId="13" borderId="0" xfId="0" applyFont="1" applyFill="1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172" fontId="15" fillId="14" borderId="0" xfId="0" applyNumberFormat="1" applyFont="1" applyFill="1" applyAlignment="1">
      <alignment vertical="center"/>
    </xf>
    <xf numFmtId="164" fontId="15" fillId="0" borderId="0" xfId="1" applyNumberFormat="1" applyFont="1" applyAlignment="1">
      <alignment horizontal="center" vertical="center"/>
    </xf>
    <xf numFmtId="169" fontId="0" fillId="0" borderId="0" xfId="1" applyNumberFormat="1" applyFont="1"/>
    <xf numFmtId="165" fontId="15" fillId="0" borderId="0" xfId="0" applyNumberFormat="1" applyFont="1" applyAlignment="1">
      <alignment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1DFA-F3FA-344D-94C2-D4BB65382339}">
  <dimension ref="A1:L46"/>
  <sheetViews>
    <sheetView showGridLines="0" topLeftCell="B32" zoomScale="107" zoomScaleNormal="100" workbookViewId="0">
      <selection activeCell="D43" sqref="D43"/>
    </sheetView>
  </sheetViews>
  <sheetFormatPr baseColWidth="10" defaultRowHeight="16" x14ac:dyDescent="0.2"/>
  <cols>
    <col min="1" max="1" width="3.6640625" customWidth="1"/>
    <col min="3" max="3" width="22.5" bestFit="1" customWidth="1"/>
    <col min="5" max="5" width="17.83203125" customWidth="1"/>
    <col min="6" max="6" width="12.33203125" customWidth="1"/>
  </cols>
  <sheetData>
    <row r="1" spans="1:12" ht="17" thickBo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7" thickBot="1" x14ac:dyDescent="0.25">
      <c r="A2" s="35"/>
      <c r="B2" s="288" t="s">
        <v>82</v>
      </c>
      <c r="C2" s="289"/>
      <c r="D2" s="289"/>
      <c r="E2" s="290"/>
      <c r="F2" s="35"/>
      <c r="G2" s="35"/>
      <c r="H2" s="35"/>
      <c r="I2" s="35"/>
      <c r="J2" s="35"/>
      <c r="K2" s="35"/>
      <c r="L2" s="35"/>
    </row>
    <row r="3" spans="1:12" ht="17" thickBot="1" x14ac:dyDescent="0.25">
      <c r="A3" s="35"/>
      <c r="B3" s="36"/>
      <c r="C3" s="37"/>
      <c r="D3" s="296" t="s">
        <v>70</v>
      </c>
      <c r="E3" s="297"/>
      <c r="F3" s="35"/>
      <c r="G3" s="35"/>
      <c r="H3" s="35"/>
      <c r="I3" s="35"/>
      <c r="J3" s="35"/>
      <c r="K3" s="35"/>
      <c r="L3" s="35"/>
    </row>
    <row r="4" spans="1:12" ht="17" thickBot="1" x14ac:dyDescent="0.25">
      <c r="A4" s="35"/>
      <c r="B4" s="36"/>
      <c r="C4" s="37"/>
      <c r="D4" s="298"/>
      <c r="E4" s="299"/>
      <c r="F4" s="35"/>
      <c r="G4" s="35"/>
      <c r="H4" s="35"/>
      <c r="I4" s="35"/>
      <c r="J4" s="35"/>
      <c r="K4" s="35"/>
      <c r="L4" s="35"/>
    </row>
    <row r="5" spans="1:12" x14ac:dyDescent="0.2">
      <c r="A5" s="35"/>
      <c r="B5" s="291" t="s">
        <v>34</v>
      </c>
      <c r="C5" s="38" t="s">
        <v>55</v>
      </c>
      <c r="D5" s="39">
        <v>0</v>
      </c>
      <c r="E5" s="40">
        <v>0</v>
      </c>
      <c r="F5" s="41"/>
      <c r="G5" s="41"/>
      <c r="H5" s="42"/>
      <c r="I5" s="42"/>
      <c r="J5" s="41"/>
      <c r="K5" s="41"/>
      <c r="L5" s="41"/>
    </row>
    <row r="6" spans="1:12" x14ac:dyDescent="0.2">
      <c r="A6" s="35"/>
      <c r="B6" s="292"/>
      <c r="C6" s="35" t="s">
        <v>56</v>
      </c>
      <c r="D6" s="43"/>
      <c r="E6" s="68">
        <v>82</v>
      </c>
      <c r="F6" s="35"/>
      <c r="G6" s="35"/>
      <c r="H6" s="42"/>
      <c r="I6" s="42"/>
      <c r="J6" s="35"/>
      <c r="K6" s="35"/>
      <c r="L6" s="35"/>
    </row>
    <row r="7" spans="1:12" ht="17" thickBot="1" x14ac:dyDescent="0.25">
      <c r="A7" s="35"/>
      <c r="B7" s="293"/>
      <c r="C7" s="63" t="s">
        <v>57</v>
      </c>
      <c r="D7" s="62"/>
      <c r="E7" s="64">
        <f>+E6*E5</f>
        <v>0</v>
      </c>
      <c r="F7" s="35"/>
      <c r="G7" s="35"/>
      <c r="H7" s="35"/>
      <c r="I7" s="35"/>
      <c r="J7" s="35"/>
      <c r="K7" s="35"/>
      <c r="L7" s="35"/>
    </row>
    <row r="8" spans="1:12" ht="17" thickBot="1" x14ac:dyDescent="0.25">
      <c r="A8" s="35"/>
      <c r="B8" s="36"/>
      <c r="C8" s="35"/>
      <c r="D8" s="45"/>
      <c r="E8" s="46"/>
      <c r="F8" s="35"/>
      <c r="G8" s="35"/>
      <c r="H8" s="35"/>
      <c r="I8" s="35"/>
      <c r="J8" s="35"/>
      <c r="K8" s="35"/>
      <c r="L8" s="35"/>
    </row>
    <row r="9" spans="1:12" x14ac:dyDescent="0.2">
      <c r="A9" s="35"/>
      <c r="B9" s="291" t="s">
        <v>35</v>
      </c>
      <c r="C9" s="38" t="s">
        <v>73</v>
      </c>
      <c r="D9" s="39">
        <v>1</v>
      </c>
      <c r="E9" s="40">
        <v>1635</v>
      </c>
      <c r="F9" s="35"/>
      <c r="G9" s="35"/>
      <c r="H9" s="35"/>
      <c r="I9" s="35"/>
      <c r="J9" s="35"/>
      <c r="K9" s="35"/>
      <c r="L9" s="35"/>
    </row>
    <row r="10" spans="1:12" x14ac:dyDescent="0.2">
      <c r="A10" s="35"/>
      <c r="B10" s="292"/>
      <c r="C10" s="35" t="s">
        <v>72</v>
      </c>
      <c r="D10" s="45"/>
      <c r="E10" s="44">
        <v>328</v>
      </c>
      <c r="F10" s="35"/>
      <c r="G10" s="35"/>
      <c r="H10" s="35"/>
      <c r="I10" s="35"/>
      <c r="J10" s="35"/>
      <c r="K10" s="35"/>
      <c r="L10" s="35"/>
    </row>
    <row r="11" spans="1:12" ht="17" thickBot="1" x14ac:dyDescent="0.25">
      <c r="A11" s="35"/>
      <c r="B11" s="293"/>
      <c r="C11" s="47" t="s">
        <v>71</v>
      </c>
      <c r="D11" s="48"/>
      <c r="E11" s="49">
        <f>+E10*E9</f>
        <v>536280</v>
      </c>
      <c r="F11" s="35"/>
      <c r="G11" s="35"/>
      <c r="H11" s="35"/>
      <c r="I11" s="35"/>
      <c r="J11" s="35"/>
      <c r="K11" s="35"/>
      <c r="L11" s="35"/>
    </row>
    <row r="12" spans="1:12" ht="17" thickBot="1" x14ac:dyDescent="0.25">
      <c r="A12" s="35"/>
      <c r="B12" s="36"/>
      <c r="C12" s="35"/>
      <c r="D12" s="45"/>
      <c r="E12" s="46"/>
      <c r="F12" s="35"/>
      <c r="G12" s="35"/>
      <c r="H12" s="35"/>
      <c r="I12" s="35"/>
      <c r="J12" s="35"/>
      <c r="K12" s="35"/>
      <c r="L12" s="35"/>
    </row>
    <row r="13" spans="1:12" x14ac:dyDescent="0.2">
      <c r="A13" s="35"/>
      <c r="B13" s="291" t="s">
        <v>36</v>
      </c>
      <c r="C13" s="38" t="s">
        <v>73</v>
      </c>
      <c r="D13" s="39">
        <v>0</v>
      </c>
      <c r="E13" s="40">
        <v>0</v>
      </c>
      <c r="F13" s="35"/>
      <c r="G13" s="35"/>
      <c r="H13" s="35"/>
      <c r="I13" s="35"/>
      <c r="J13" s="35"/>
      <c r="K13" s="35"/>
      <c r="L13" s="35"/>
    </row>
    <row r="14" spans="1:12" x14ac:dyDescent="0.2">
      <c r="A14" s="35"/>
      <c r="B14" s="292"/>
      <c r="C14" s="35" t="s">
        <v>72</v>
      </c>
      <c r="D14" s="45"/>
      <c r="E14" s="68">
        <v>746</v>
      </c>
      <c r="F14" s="35"/>
      <c r="G14" s="35"/>
      <c r="H14" s="35"/>
      <c r="I14" s="35"/>
      <c r="J14" s="35"/>
      <c r="K14" s="35"/>
      <c r="L14" s="35"/>
    </row>
    <row r="15" spans="1:12" ht="17" thickBot="1" x14ac:dyDescent="0.25">
      <c r="A15" s="35"/>
      <c r="B15" s="293"/>
      <c r="C15" s="47" t="s">
        <v>71</v>
      </c>
      <c r="D15" s="48"/>
      <c r="E15" s="49">
        <f>+E14*E13</f>
        <v>0</v>
      </c>
      <c r="F15" s="35"/>
      <c r="G15" s="35"/>
      <c r="H15" s="35"/>
      <c r="I15" s="35"/>
      <c r="J15" s="35"/>
      <c r="K15" s="35"/>
      <c r="L15" s="35"/>
    </row>
    <row r="16" spans="1:12" ht="17" thickBot="1" x14ac:dyDescent="0.25">
      <c r="A16" s="35"/>
      <c r="B16" s="36"/>
      <c r="C16" s="35"/>
      <c r="D16" s="45"/>
      <c r="E16" s="46"/>
      <c r="F16" s="35"/>
      <c r="G16" s="35"/>
      <c r="H16" s="35"/>
      <c r="I16" s="35"/>
      <c r="J16" s="35"/>
      <c r="K16" s="35"/>
      <c r="L16" s="35"/>
    </row>
    <row r="17" spans="1:12" x14ac:dyDescent="0.2">
      <c r="A17" s="35"/>
      <c r="B17" s="294" t="s">
        <v>77</v>
      </c>
      <c r="C17" s="38" t="s">
        <v>58</v>
      </c>
      <c r="D17" s="39">
        <v>1</v>
      </c>
      <c r="E17" s="50">
        <f>+E13+E9+E5</f>
        <v>1635</v>
      </c>
      <c r="F17" s="35"/>
      <c r="G17" s="35"/>
      <c r="H17" s="35"/>
      <c r="I17" s="41"/>
      <c r="J17" s="35"/>
      <c r="K17" s="35"/>
      <c r="L17" s="35"/>
    </row>
    <row r="18" spans="1:12" ht="17" thickBot="1" x14ac:dyDescent="0.25">
      <c r="A18" s="35"/>
      <c r="B18" s="295"/>
      <c r="C18" s="51" t="s">
        <v>59</v>
      </c>
      <c r="D18" s="52">
        <v>1</v>
      </c>
      <c r="E18" s="65">
        <f>+E15+E11+E7</f>
        <v>536280</v>
      </c>
      <c r="F18" s="35"/>
      <c r="G18" s="35"/>
      <c r="H18" s="35"/>
      <c r="I18" s="35"/>
      <c r="J18" s="35"/>
      <c r="K18" s="35"/>
      <c r="L18" s="35"/>
    </row>
    <row r="19" spans="1:12" ht="17" thickBot="1" x14ac:dyDescent="0.25">
      <c r="A19" s="35"/>
      <c r="B19" s="67"/>
      <c r="C19" s="79"/>
      <c r="D19" s="77"/>
      <c r="E19" s="80"/>
      <c r="F19" s="35"/>
      <c r="G19" s="35"/>
      <c r="H19" s="35"/>
      <c r="I19" s="35"/>
      <c r="J19" s="35"/>
      <c r="K19" s="35"/>
      <c r="L19" s="35"/>
    </row>
    <row r="20" spans="1:12" ht="16" customHeight="1" x14ac:dyDescent="0.2">
      <c r="A20" s="35"/>
      <c r="B20" s="291" t="s">
        <v>78</v>
      </c>
      <c r="C20" s="73" t="s">
        <v>73</v>
      </c>
      <c r="D20" s="74"/>
      <c r="E20" s="75">
        <v>11</v>
      </c>
      <c r="F20" s="35"/>
      <c r="G20" s="35"/>
      <c r="H20" s="35"/>
      <c r="I20" s="35"/>
      <c r="J20" s="35"/>
      <c r="K20" s="35"/>
      <c r="L20" s="35"/>
    </row>
    <row r="21" spans="1:12" x14ac:dyDescent="0.2">
      <c r="A21" s="35"/>
      <c r="B21" s="292"/>
      <c r="C21" s="76" t="s">
        <v>72</v>
      </c>
      <c r="D21" s="77"/>
      <c r="E21" s="78">
        <v>313</v>
      </c>
      <c r="F21" s="35"/>
      <c r="G21" s="35"/>
      <c r="H21" s="35"/>
      <c r="I21" s="35"/>
      <c r="J21" s="35"/>
      <c r="K21" s="35"/>
      <c r="L21" s="35"/>
    </row>
    <row r="22" spans="1:12" ht="17" thickBot="1" x14ac:dyDescent="0.25">
      <c r="A22" s="35"/>
      <c r="B22" s="293"/>
      <c r="C22" s="51" t="s">
        <v>57</v>
      </c>
      <c r="D22" s="52"/>
      <c r="E22" s="65">
        <f>+E21*E20</f>
        <v>3443</v>
      </c>
      <c r="F22" s="35"/>
      <c r="G22" s="35"/>
      <c r="H22" s="35"/>
      <c r="I22" s="35"/>
      <c r="J22" s="35"/>
      <c r="K22" s="35"/>
      <c r="L22" s="35"/>
    </row>
    <row r="23" spans="1:12" ht="17" thickBot="1" x14ac:dyDescent="0.25">
      <c r="A23" s="35"/>
      <c r="B23" s="72"/>
      <c r="C23" s="79"/>
      <c r="D23" s="77"/>
      <c r="E23" s="80"/>
      <c r="F23" s="35"/>
      <c r="G23" s="35"/>
      <c r="H23" s="35"/>
      <c r="I23" s="35"/>
      <c r="J23" s="35"/>
      <c r="K23" s="35"/>
      <c r="L23" s="35"/>
    </row>
    <row r="24" spans="1:12" x14ac:dyDescent="0.2">
      <c r="A24" s="35"/>
      <c r="B24" s="291" t="s">
        <v>81</v>
      </c>
      <c r="C24" s="73" t="s">
        <v>73</v>
      </c>
      <c r="D24" s="74"/>
      <c r="E24" s="75">
        <v>120</v>
      </c>
      <c r="F24" s="35"/>
      <c r="G24" s="35"/>
      <c r="H24" s="35"/>
      <c r="I24" s="35"/>
      <c r="J24" s="35"/>
      <c r="K24" s="35"/>
      <c r="L24" s="35"/>
    </row>
    <row r="25" spans="1:12" x14ac:dyDescent="0.2">
      <c r="A25" s="35"/>
      <c r="B25" s="292"/>
      <c r="C25" s="76" t="s">
        <v>72</v>
      </c>
      <c r="D25" s="77"/>
      <c r="E25" s="78">
        <v>30</v>
      </c>
      <c r="F25" s="35"/>
      <c r="G25" s="35"/>
      <c r="H25" s="35"/>
      <c r="I25" s="35"/>
      <c r="J25" s="35"/>
      <c r="K25" s="35"/>
      <c r="L25" s="35"/>
    </row>
    <row r="26" spans="1:12" ht="17" thickBot="1" x14ac:dyDescent="0.25">
      <c r="A26" s="35"/>
      <c r="B26" s="293"/>
      <c r="C26" s="51" t="s">
        <v>57</v>
      </c>
      <c r="D26" s="52"/>
      <c r="E26" s="65">
        <f>+E25*E24</f>
        <v>3600</v>
      </c>
      <c r="F26" s="35"/>
      <c r="G26" s="35"/>
      <c r="H26" s="35"/>
      <c r="I26" s="35"/>
      <c r="J26" s="35"/>
      <c r="K26" s="35"/>
      <c r="L26" s="35"/>
    </row>
    <row r="27" spans="1:12" ht="17" thickBot="1" x14ac:dyDescent="0.25">
      <c r="A27" s="35"/>
      <c r="B27" s="36"/>
      <c r="C27" s="35"/>
      <c r="D27" s="36"/>
      <c r="E27" s="53"/>
      <c r="F27" s="35"/>
      <c r="G27" s="35"/>
      <c r="H27" s="35"/>
      <c r="I27" s="35"/>
      <c r="J27" s="35"/>
      <c r="K27" s="35"/>
      <c r="L27" s="35"/>
    </row>
    <row r="28" spans="1:12" x14ac:dyDescent="0.2">
      <c r="A28" s="35"/>
      <c r="B28" s="291" t="s">
        <v>60</v>
      </c>
      <c r="C28" s="69" t="s">
        <v>74</v>
      </c>
      <c r="D28" s="39">
        <v>0</v>
      </c>
      <c r="E28" s="81">
        <f>+'Estimación de demanda'!P33</f>
        <v>0</v>
      </c>
      <c r="F28" s="35"/>
      <c r="G28" s="35"/>
      <c r="H28" s="35"/>
      <c r="I28" s="35"/>
      <c r="J28" s="35"/>
      <c r="K28" s="35"/>
      <c r="L28" s="35"/>
    </row>
    <row r="29" spans="1:12" x14ac:dyDescent="0.2">
      <c r="A29" s="35"/>
      <c r="B29" s="292"/>
      <c r="C29" s="36" t="s">
        <v>75</v>
      </c>
      <c r="D29" s="45">
        <v>1</v>
      </c>
      <c r="E29" s="68">
        <f>+'Estimación de demanda'!P34</f>
        <v>64353.599999999999</v>
      </c>
      <c r="F29" s="35"/>
      <c r="G29" s="35"/>
      <c r="H29" s="35"/>
      <c r="I29" s="35"/>
      <c r="J29" s="35"/>
      <c r="K29" s="35"/>
      <c r="L29" s="35"/>
    </row>
    <row r="30" spans="1:12" x14ac:dyDescent="0.2">
      <c r="A30" s="35"/>
      <c r="B30" s="292"/>
      <c r="C30" s="70" t="s">
        <v>76</v>
      </c>
      <c r="D30" s="71">
        <v>0</v>
      </c>
      <c r="E30" s="82">
        <f>+'Estimación de demanda'!P35</f>
        <v>0</v>
      </c>
      <c r="F30" s="35"/>
      <c r="G30" s="35"/>
      <c r="H30" s="35"/>
      <c r="I30" s="35"/>
      <c r="J30" s="35"/>
      <c r="K30" s="35"/>
      <c r="L30" s="35"/>
    </row>
    <row r="31" spans="1:12" x14ac:dyDescent="0.2">
      <c r="A31" s="35"/>
      <c r="B31" s="292"/>
      <c r="C31" s="35" t="s">
        <v>79</v>
      </c>
      <c r="D31" s="45"/>
      <c r="E31" s="68">
        <f>+'Estimación de demanda'!P39</f>
        <v>1024.9253731343285</v>
      </c>
      <c r="F31" s="35"/>
      <c r="G31" s="35"/>
      <c r="H31" s="35"/>
      <c r="I31" s="35"/>
      <c r="J31" s="35"/>
      <c r="K31" s="35"/>
      <c r="L31" s="35"/>
    </row>
    <row r="32" spans="1:12" x14ac:dyDescent="0.2">
      <c r="A32" s="35"/>
      <c r="B32" s="292"/>
      <c r="C32" s="35" t="s">
        <v>80</v>
      </c>
      <c r="D32" s="45"/>
      <c r="E32" s="68">
        <f>+'Estimación de demanda'!P41</f>
        <v>361.08000000000004</v>
      </c>
      <c r="F32" s="35"/>
      <c r="G32" s="35"/>
      <c r="H32" s="35"/>
      <c r="I32" s="35"/>
      <c r="J32" s="35"/>
      <c r="K32" s="35"/>
      <c r="L32" s="35"/>
    </row>
    <row r="33" spans="1:12" ht="17" thickBot="1" x14ac:dyDescent="0.25">
      <c r="A33" s="35"/>
      <c r="B33" s="293"/>
      <c r="C33" s="51" t="s">
        <v>61</v>
      </c>
      <c r="D33" s="52"/>
      <c r="E33" s="65">
        <f>+SUM(E28:E32)</f>
        <v>65739.605373134327</v>
      </c>
      <c r="F33" s="35"/>
      <c r="G33" s="35"/>
      <c r="H33" s="35"/>
      <c r="I33" s="35"/>
      <c r="J33" s="35"/>
      <c r="K33" s="35"/>
      <c r="L33" s="35"/>
    </row>
    <row r="34" spans="1:12" ht="17" thickBot="1" x14ac:dyDescent="0.25">
      <c r="A34" s="35"/>
      <c r="B34" s="54"/>
      <c r="C34" s="55"/>
      <c r="D34" s="56"/>
      <c r="E34" s="83"/>
      <c r="F34" s="35"/>
      <c r="G34" s="35"/>
      <c r="H34" s="35"/>
      <c r="I34" s="35"/>
      <c r="J34" s="35"/>
      <c r="K34" s="35"/>
      <c r="L34" s="35"/>
    </row>
    <row r="35" spans="1:12" x14ac:dyDescent="0.2">
      <c r="A35" s="35"/>
      <c r="B35" s="291" t="s">
        <v>62</v>
      </c>
      <c r="C35" s="38" t="s">
        <v>63</v>
      </c>
      <c r="D35" s="66">
        <v>0.21</v>
      </c>
      <c r="E35" s="84">
        <f>+E33*D35</f>
        <v>13805.317128358209</v>
      </c>
      <c r="F35" s="35"/>
      <c r="G35" s="35"/>
      <c r="H35" s="35"/>
      <c r="I35" s="35"/>
      <c r="J35" s="35"/>
      <c r="K35" s="35"/>
      <c r="L35" s="35"/>
    </row>
    <row r="36" spans="1:12" x14ac:dyDescent="0.2">
      <c r="A36" s="35"/>
      <c r="B36" s="292"/>
      <c r="C36" s="35" t="s">
        <v>64</v>
      </c>
      <c r="D36" s="57">
        <v>5.5E-2</v>
      </c>
      <c r="E36" s="68">
        <f>+E33*D36</f>
        <v>3615.678295522388</v>
      </c>
      <c r="F36" s="35"/>
      <c r="G36" s="35"/>
      <c r="H36" s="35"/>
      <c r="I36" s="35"/>
      <c r="J36" s="35"/>
      <c r="K36" s="35"/>
      <c r="L36" s="35"/>
    </row>
    <row r="37" spans="1:12" ht="17" thickBot="1" x14ac:dyDescent="0.25">
      <c r="A37" s="35"/>
      <c r="B37" s="293"/>
      <c r="C37" s="51" t="s">
        <v>65</v>
      </c>
      <c r="D37" s="58">
        <f>+D36+D35</f>
        <v>0.26500000000000001</v>
      </c>
      <c r="E37" s="65">
        <f>+E35+E36</f>
        <v>17420.995423880595</v>
      </c>
      <c r="F37" s="35"/>
      <c r="G37" s="35"/>
      <c r="H37" s="35"/>
      <c r="I37" s="35"/>
      <c r="J37" s="35"/>
      <c r="K37" s="35"/>
      <c r="L37" s="35"/>
    </row>
    <row r="38" spans="1:12" ht="17" thickBot="1" x14ac:dyDescent="0.25">
      <c r="A38" s="35"/>
      <c r="B38" s="54"/>
      <c r="C38" s="55"/>
      <c r="D38" s="59"/>
      <c r="E38" s="83"/>
      <c r="F38" s="35"/>
      <c r="G38" s="35"/>
      <c r="H38" s="35"/>
      <c r="I38" s="35"/>
      <c r="J38" s="35"/>
      <c r="K38" s="35"/>
      <c r="L38" s="35"/>
    </row>
    <row r="39" spans="1:12" ht="17" thickBot="1" x14ac:dyDescent="0.25">
      <c r="A39" s="35"/>
      <c r="B39" s="286" t="s">
        <v>66</v>
      </c>
      <c r="C39" s="287"/>
      <c r="D39" s="60"/>
      <c r="E39" s="85">
        <f>+E33-E37</f>
        <v>48318.609949253732</v>
      </c>
      <c r="F39" s="35"/>
      <c r="G39" s="35"/>
      <c r="H39" s="35"/>
      <c r="I39" s="35"/>
      <c r="J39" s="35"/>
      <c r="K39" s="35"/>
      <c r="L39" s="35"/>
    </row>
    <row r="40" spans="1:12" x14ac:dyDescent="0.2">
      <c r="A40" s="35"/>
      <c r="B40" s="61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">
      <c r="A42" s="35"/>
      <c r="B42" s="35"/>
      <c r="C42" s="35"/>
      <c r="D42" s="35"/>
      <c r="E42" s="87">
        <f>+E33/E17</f>
        <v>40.207709708339038</v>
      </c>
      <c r="F42" s="88" t="s">
        <v>67</v>
      </c>
      <c r="G42" s="35"/>
      <c r="H42" s="35"/>
      <c r="I42" s="35"/>
      <c r="J42" s="35"/>
      <c r="K42" s="35"/>
      <c r="L42" s="35"/>
    </row>
    <row r="43" spans="1:12" x14ac:dyDescent="0.2">
      <c r="A43" s="35"/>
      <c r="B43" s="35"/>
      <c r="C43" s="35"/>
      <c r="D43" s="35"/>
      <c r="E43" s="89">
        <f>+E37/E17</f>
        <v>10.655043072709844</v>
      </c>
      <c r="F43" s="86" t="s">
        <v>68</v>
      </c>
      <c r="G43" s="35"/>
      <c r="H43" s="35"/>
      <c r="I43" s="35"/>
      <c r="J43" s="35"/>
      <c r="K43" s="35"/>
      <c r="L43" s="35"/>
    </row>
    <row r="44" spans="1:12" x14ac:dyDescent="0.2">
      <c r="A44" s="35"/>
      <c r="B44" s="35"/>
      <c r="C44" s="35"/>
      <c r="D44" s="35"/>
      <c r="E44" s="90">
        <f>+E42-E43</f>
        <v>29.552666635629194</v>
      </c>
      <c r="F44" s="91" t="s">
        <v>69</v>
      </c>
      <c r="G44" s="35"/>
      <c r="H44" s="35"/>
      <c r="I44" s="35"/>
      <c r="J44" s="35"/>
      <c r="K44" s="35"/>
      <c r="L44" s="35"/>
    </row>
    <row r="45" spans="1:12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</sheetData>
  <mergeCells count="12">
    <mergeCell ref="B39:C39"/>
    <mergeCell ref="B2:E2"/>
    <mergeCell ref="B20:B22"/>
    <mergeCell ref="B24:B26"/>
    <mergeCell ref="B5:B7"/>
    <mergeCell ref="B9:B11"/>
    <mergeCell ref="B13:B15"/>
    <mergeCell ref="B17:B18"/>
    <mergeCell ref="B28:B33"/>
    <mergeCell ref="B35:B37"/>
    <mergeCell ref="D3:E3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FDA5-962C-3345-A591-21B74972FCBB}">
  <dimension ref="B2:R39"/>
  <sheetViews>
    <sheetView showGridLines="0" zoomScale="75" zoomScaleNormal="90" workbookViewId="0">
      <selection activeCell="H38" sqref="H38"/>
    </sheetView>
  </sheetViews>
  <sheetFormatPr baseColWidth="10" defaultRowHeight="16" x14ac:dyDescent="0.2"/>
  <cols>
    <col min="1" max="1" width="5.5" customWidth="1"/>
    <col min="2" max="2" width="5.1640625" customWidth="1"/>
    <col min="3" max="3" width="32" customWidth="1"/>
    <col min="4" max="4" width="10.33203125" bestFit="1" customWidth="1"/>
    <col min="5" max="5" width="16.83203125" customWidth="1"/>
    <col min="6" max="6" width="12.83203125" customWidth="1"/>
    <col min="18" max="18" width="10.83203125" style="114"/>
  </cols>
  <sheetData>
    <row r="2" spans="2:18" ht="25" x14ac:dyDescent="0.2">
      <c r="B2" s="132" t="s">
        <v>110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13"/>
    </row>
    <row r="4" spans="2:18" x14ac:dyDescent="0.2">
      <c r="C4" s="110" t="s">
        <v>111</v>
      </c>
      <c r="D4" s="110"/>
      <c r="E4" s="94" t="s">
        <v>112</v>
      </c>
      <c r="F4" s="93"/>
    </row>
    <row r="5" spans="2:18" x14ac:dyDescent="0.2">
      <c r="C5" s="107" t="s">
        <v>96</v>
      </c>
      <c r="D5" s="107"/>
      <c r="E5" s="95">
        <v>200</v>
      </c>
    </row>
    <row r="6" spans="2:18" x14ac:dyDescent="0.2">
      <c r="C6" s="107" t="s">
        <v>98</v>
      </c>
      <c r="D6" s="107"/>
      <c r="E6" s="95">
        <v>7000</v>
      </c>
    </row>
    <row r="7" spans="2:18" x14ac:dyDescent="0.2">
      <c r="C7" s="107" t="s">
        <v>84</v>
      </c>
      <c r="D7" s="107"/>
      <c r="E7" s="95">
        <v>1500</v>
      </c>
    </row>
    <row r="8" spans="2:18" x14ac:dyDescent="0.2">
      <c r="D8" s="92"/>
      <c r="E8" s="92"/>
    </row>
    <row r="9" spans="2:18" x14ac:dyDescent="0.2">
      <c r="C9" s="96" t="s">
        <v>97</v>
      </c>
      <c r="D9" s="96"/>
      <c r="E9" s="181">
        <f>SUM(E5:E8)</f>
        <v>8700</v>
      </c>
    </row>
    <row r="12" spans="2:18" ht="30" x14ac:dyDescent="0.2">
      <c r="B12" s="132" t="s">
        <v>99</v>
      </c>
      <c r="C12" s="104"/>
      <c r="D12" s="104"/>
      <c r="E12" s="104"/>
      <c r="F12" s="104"/>
      <c r="G12" s="104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15"/>
    </row>
    <row r="13" spans="2:18" x14ac:dyDescent="0.2">
      <c r="B13" s="92"/>
      <c r="C13" s="98" t="s">
        <v>100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116"/>
    </row>
    <row r="14" spans="2:18" x14ac:dyDescent="0.2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116"/>
    </row>
    <row r="15" spans="2:18" x14ac:dyDescent="0.2">
      <c r="B15" s="92"/>
      <c r="C15" s="107"/>
      <c r="D15" s="106">
        <v>0</v>
      </c>
      <c r="E15" s="106">
        <v>1</v>
      </c>
      <c r="F15" s="106">
        <v>2</v>
      </c>
      <c r="G15" s="106">
        <v>3</v>
      </c>
      <c r="H15" s="106">
        <v>4</v>
      </c>
      <c r="I15" s="106">
        <v>5</v>
      </c>
      <c r="J15" s="106">
        <v>6</v>
      </c>
      <c r="K15" s="106">
        <v>7</v>
      </c>
      <c r="L15" s="106">
        <v>8</v>
      </c>
      <c r="M15" s="106">
        <v>9</v>
      </c>
      <c r="N15" s="106">
        <v>10</v>
      </c>
      <c r="O15" s="106">
        <v>11</v>
      </c>
      <c r="P15" s="106">
        <v>12</v>
      </c>
      <c r="Q15" s="92"/>
      <c r="R15" s="116"/>
    </row>
    <row r="16" spans="2:18" x14ac:dyDescent="0.2">
      <c r="B16" s="92"/>
      <c r="C16" s="108" t="s">
        <v>101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92"/>
      <c r="R16" s="116"/>
    </row>
    <row r="17" spans="2:18" x14ac:dyDescent="0.2">
      <c r="B17" s="92"/>
      <c r="C17" s="111" t="s">
        <v>102</v>
      </c>
      <c r="D17" s="95">
        <f>+E9</f>
        <v>8700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92"/>
      <c r="R17" s="116"/>
    </row>
    <row r="18" spans="2:18" x14ac:dyDescent="0.2">
      <c r="B18" s="92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92"/>
      <c r="R18" s="116"/>
    </row>
    <row r="19" spans="2:18" x14ac:dyDescent="0.2">
      <c r="B19" s="92"/>
      <c r="C19" s="111" t="s">
        <v>103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92"/>
      <c r="R19" s="116"/>
    </row>
    <row r="20" spans="2:18" x14ac:dyDescent="0.2">
      <c r="B20" s="92"/>
      <c r="C20" s="107" t="s">
        <v>83</v>
      </c>
      <c r="D20" s="107"/>
      <c r="E20" s="95">
        <v>2000</v>
      </c>
      <c r="F20" s="95">
        <f>E20</f>
        <v>2000</v>
      </c>
      <c r="G20" s="95">
        <f t="shared" ref="G20:P20" si="0">F20</f>
        <v>2000</v>
      </c>
      <c r="H20" s="95">
        <f t="shared" si="0"/>
        <v>2000</v>
      </c>
      <c r="I20" s="95">
        <f t="shared" si="0"/>
        <v>2000</v>
      </c>
      <c r="J20" s="95">
        <f t="shared" si="0"/>
        <v>2000</v>
      </c>
      <c r="K20" s="95">
        <f t="shared" si="0"/>
        <v>2000</v>
      </c>
      <c r="L20" s="95">
        <f t="shared" si="0"/>
        <v>2000</v>
      </c>
      <c r="M20" s="95">
        <f t="shared" si="0"/>
        <v>2000</v>
      </c>
      <c r="N20" s="95">
        <f t="shared" si="0"/>
        <v>2000</v>
      </c>
      <c r="O20" s="95">
        <f t="shared" si="0"/>
        <v>2000</v>
      </c>
      <c r="P20" s="95">
        <f t="shared" si="0"/>
        <v>2000</v>
      </c>
      <c r="Q20" s="92"/>
      <c r="R20" s="116"/>
    </row>
    <row r="21" spans="2:18" x14ac:dyDescent="0.2">
      <c r="B21" s="92"/>
      <c r="C21" s="107"/>
      <c r="D21" s="107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2"/>
      <c r="R21" s="116"/>
    </row>
    <row r="22" spans="2:18" x14ac:dyDescent="0.2">
      <c r="B22" s="92"/>
      <c r="C22" s="111" t="s">
        <v>104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92"/>
      <c r="R22" s="116"/>
    </row>
    <row r="23" spans="2:18" x14ac:dyDescent="0.2">
      <c r="B23" s="92"/>
      <c r="C23" s="107" t="s">
        <v>105</v>
      </c>
      <c r="D23" s="107"/>
      <c r="E23" s="95">
        <v>150</v>
      </c>
      <c r="F23" s="97">
        <f>E23</f>
        <v>150</v>
      </c>
      <c r="G23" s="97">
        <f t="shared" ref="G23:P24" si="1">F23</f>
        <v>150</v>
      </c>
      <c r="H23" s="97">
        <f t="shared" si="1"/>
        <v>150</v>
      </c>
      <c r="I23" s="97">
        <f t="shared" si="1"/>
        <v>150</v>
      </c>
      <c r="J23" s="97">
        <f t="shared" si="1"/>
        <v>150</v>
      </c>
      <c r="K23" s="97">
        <f t="shared" si="1"/>
        <v>150</v>
      </c>
      <c r="L23" s="97">
        <f t="shared" si="1"/>
        <v>150</v>
      </c>
      <c r="M23" s="97">
        <f t="shared" si="1"/>
        <v>150</v>
      </c>
      <c r="N23" s="97">
        <f t="shared" si="1"/>
        <v>150</v>
      </c>
      <c r="O23" s="97">
        <f t="shared" si="1"/>
        <v>150</v>
      </c>
      <c r="P23" s="97">
        <f t="shared" si="1"/>
        <v>150</v>
      </c>
      <c r="Q23" s="92"/>
      <c r="R23" s="116"/>
    </row>
    <row r="24" spans="2:18" x14ac:dyDescent="0.2">
      <c r="B24" s="92"/>
      <c r="C24" s="107" t="s">
        <v>113</v>
      </c>
      <c r="D24" s="107"/>
      <c r="E24" s="95">
        <v>1000</v>
      </c>
      <c r="F24" s="97">
        <f>E24</f>
        <v>1000</v>
      </c>
      <c r="G24" s="97">
        <f t="shared" si="1"/>
        <v>1000</v>
      </c>
      <c r="H24" s="97">
        <f t="shared" si="1"/>
        <v>1000</v>
      </c>
      <c r="I24" s="97">
        <f t="shared" si="1"/>
        <v>1000</v>
      </c>
      <c r="J24" s="97">
        <f t="shared" si="1"/>
        <v>1000</v>
      </c>
      <c r="K24" s="97">
        <f t="shared" si="1"/>
        <v>1000</v>
      </c>
      <c r="L24" s="97">
        <f t="shared" si="1"/>
        <v>1000</v>
      </c>
      <c r="M24" s="97">
        <f t="shared" si="1"/>
        <v>1000</v>
      </c>
      <c r="N24" s="97">
        <f t="shared" si="1"/>
        <v>1000</v>
      </c>
      <c r="O24" s="97">
        <f t="shared" si="1"/>
        <v>1000</v>
      </c>
      <c r="P24" s="97">
        <f t="shared" si="1"/>
        <v>1000</v>
      </c>
      <c r="Q24" s="92"/>
      <c r="R24" s="116"/>
    </row>
    <row r="25" spans="2:18" x14ac:dyDescent="0.2">
      <c r="B25" s="92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92"/>
      <c r="R25" s="116"/>
    </row>
    <row r="26" spans="2:18" x14ac:dyDescent="0.2">
      <c r="B26" s="92"/>
      <c r="C26" s="111" t="s">
        <v>106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92"/>
      <c r="R26" s="116"/>
    </row>
    <row r="27" spans="2:18" x14ac:dyDescent="0.2">
      <c r="B27" s="92"/>
      <c r="C27" s="107" t="s">
        <v>107</v>
      </c>
      <c r="D27" s="107"/>
      <c r="E27" s="95">
        <v>1000</v>
      </c>
      <c r="F27" s="95">
        <v>1000</v>
      </c>
      <c r="G27" s="95">
        <v>1000</v>
      </c>
      <c r="H27" s="95">
        <v>1000</v>
      </c>
      <c r="I27" s="95">
        <v>1000</v>
      </c>
      <c r="J27" s="95">
        <v>1000</v>
      </c>
      <c r="K27" s="95">
        <v>1000</v>
      </c>
      <c r="L27" s="95">
        <v>1000</v>
      </c>
      <c r="M27" s="95">
        <v>1000</v>
      </c>
      <c r="N27" s="95">
        <v>1000</v>
      </c>
      <c r="O27" s="95">
        <v>700</v>
      </c>
      <c r="P27" s="95">
        <v>700</v>
      </c>
      <c r="Q27" s="92"/>
      <c r="R27" s="116"/>
    </row>
    <row r="28" spans="2:18" x14ac:dyDescent="0.2">
      <c r="B28" s="92"/>
      <c r="C28" s="107" t="s">
        <v>114</v>
      </c>
      <c r="D28" s="107"/>
      <c r="E28" s="95">
        <v>500</v>
      </c>
      <c r="F28" s="95">
        <v>500</v>
      </c>
      <c r="G28" s="95">
        <v>500</v>
      </c>
      <c r="H28" s="95">
        <v>500</v>
      </c>
      <c r="I28" s="95">
        <v>500</v>
      </c>
      <c r="J28" s="95">
        <v>500</v>
      </c>
      <c r="K28" s="95">
        <v>500</v>
      </c>
      <c r="L28" s="95">
        <v>500</v>
      </c>
      <c r="M28" s="95">
        <v>500</v>
      </c>
      <c r="N28" s="95">
        <v>500</v>
      </c>
      <c r="O28" s="95">
        <v>500</v>
      </c>
      <c r="P28" s="95">
        <v>500</v>
      </c>
      <c r="Q28" s="92"/>
      <c r="R28" s="116"/>
    </row>
    <row r="29" spans="2:18" x14ac:dyDescent="0.2">
      <c r="B29" s="92"/>
      <c r="C29" s="107" t="s">
        <v>115</v>
      </c>
      <c r="D29" s="107"/>
      <c r="E29" s="95">
        <v>200</v>
      </c>
      <c r="F29" s="95">
        <v>200</v>
      </c>
      <c r="G29" s="95">
        <v>200</v>
      </c>
      <c r="H29" s="95">
        <v>200</v>
      </c>
      <c r="I29" s="95">
        <v>200</v>
      </c>
      <c r="J29" s="95">
        <v>100</v>
      </c>
      <c r="K29" s="95">
        <v>100</v>
      </c>
      <c r="L29" s="95">
        <v>100</v>
      </c>
      <c r="M29" s="95">
        <v>100</v>
      </c>
      <c r="N29" s="95">
        <v>100</v>
      </c>
      <c r="O29" s="95">
        <v>100</v>
      </c>
      <c r="P29" s="95">
        <v>100</v>
      </c>
      <c r="Q29" s="92"/>
      <c r="R29" s="116"/>
    </row>
    <row r="30" spans="2:18" x14ac:dyDescent="0.2">
      <c r="B30" s="92"/>
      <c r="C30" s="107" t="s">
        <v>116</v>
      </c>
      <c r="D30" s="107"/>
      <c r="E30" s="95">
        <v>300</v>
      </c>
      <c r="F30" s="95">
        <v>300</v>
      </c>
      <c r="G30" s="95">
        <v>200</v>
      </c>
      <c r="H30" s="95">
        <v>200</v>
      </c>
      <c r="I30" s="95">
        <v>200</v>
      </c>
      <c r="J30" s="95">
        <v>200</v>
      </c>
      <c r="K30" s="95">
        <v>200</v>
      </c>
      <c r="L30" s="95">
        <v>200</v>
      </c>
      <c r="M30" s="95">
        <v>200</v>
      </c>
      <c r="N30" s="95">
        <v>200</v>
      </c>
      <c r="O30" s="95">
        <v>200</v>
      </c>
      <c r="P30" s="95">
        <v>200</v>
      </c>
      <c r="Q30" s="92"/>
      <c r="R30" s="116"/>
    </row>
    <row r="31" spans="2:18" x14ac:dyDescent="0.2">
      <c r="B31" s="92"/>
      <c r="C31" s="107"/>
      <c r="D31" s="10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2"/>
      <c r="R31" s="116"/>
    </row>
    <row r="32" spans="2:18" x14ac:dyDescent="0.2">
      <c r="B32" s="92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92"/>
      <c r="R32" s="116"/>
    </row>
    <row r="33" spans="2:18" x14ac:dyDescent="0.2">
      <c r="B33" s="92"/>
      <c r="C33" s="112" t="s">
        <v>108</v>
      </c>
      <c r="D33" s="182">
        <f t="shared" ref="D33:P33" si="2">SUM(D17:D32)</f>
        <v>8700</v>
      </c>
      <c r="E33" s="180">
        <f t="shared" si="2"/>
        <v>5150</v>
      </c>
      <c r="F33" s="180">
        <f t="shared" si="2"/>
        <v>5150</v>
      </c>
      <c r="G33" s="180">
        <f t="shared" si="2"/>
        <v>5050</v>
      </c>
      <c r="H33" s="180">
        <f t="shared" si="2"/>
        <v>5050</v>
      </c>
      <c r="I33" s="180">
        <f t="shared" si="2"/>
        <v>5050</v>
      </c>
      <c r="J33" s="180">
        <f t="shared" si="2"/>
        <v>4950</v>
      </c>
      <c r="K33" s="180">
        <f t="shared" si="2"/>
        <v>4950</v>
      </c>
      <c r="L33" s="180">
        <f t="shared" si="2"/>
        <v>4950</v>
      </c>
      <c r="M33" s="180">
        <f t="shared" si="2"/>
        <v>4950</v>
      </c>
      <c r="N33" s="180">
        <f t="shared" si="2"/>
        <v>4950</v>
      </c>
      <c r="O33" s="180">
        <f t="shared" si="2"/>
        <v>4650</v>
      </c>
      <c r="P33" s="180">
        <f t="shared" si="2"/>
        <v>4650</v>
      </c>
      <c r="Q33" s="92"/>
      <c r="R33" s="116"/>
    </row>
    <row r="34" spans="2:18" x14ac:dyDescent="0.2">
      <c r="B34" s="92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92"/>
      <c r="R34" s="116"/>
    </row>
    <row r="35" spans="2:18" x14ac:dyDescent="0.2">
      <c r="B35" s="92"/>
      <c r="C35" s="112" t="s">
        <v>109</v>
      </c>
      <c r="D35" s="183">
        <f>SUM(D33:P33)</f>
        <v>68200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92"/>
      <c r="R35" s="116"/>
    </row>
    <row r="36" spans="2:18" x14ac:dyDescent="0.2">
      <c r="B36" s="92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92"/>
      <c r="R36" s="116"/>
    </row>
    <row r="37" spans="2:18" x14ac:dyDescent="0.2">
      <c r="B37" s="92"/>
      <c r="C37" s="99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116"/>
    </row>
    <row r="38" spans="2:18" x14ac:dyDescent="0.2">
      <c r="B38" s="92"/>
      <c r="C38" s="92"/>
      <c r="D38" s="100"/>
      <c r="E38" s="92"/>
      <c r="F38" s="92"/>
      <c r="G38" s="92"/>
      <c r="H38" s="101"/>
      <c r="I38" s="92"/>
      <c r="J38" s="92"/>
      <c r="K38" s="92"/>
      <c r="L38" s="92"/>
      <c r="M38" s="92"/>
      <c r="N38" s="92"/>
      <c r="O38" s="92"/>
      <c r="P38" s="92"/>
      <c r="Q38" s="92"/>
      <c r="R38" s="116"/>
    </row>
    <row r="39" spans="2:18" x14ac:dyDescent="0.2">
      <c r="B39" s="92"/>
      <c r="C39" s="92"/>
      <c r="D39" s="102"/>
      <c r="E39" s="92"/>
      <c r="F39" s="10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1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063E-EC9D-184B-82B2-9780E419C4D9}">
  <dimension ref="A1:Z130"/>
  <sheetViews>
    <sheetView showGridLines="0" tabSelected="1" topLeftCell="A14" zoomScale="75" workbookViewId="0">
      <selection activeCell="Q49" sqref="Q48:R49"/>
    </sheetView>
  </sheetViews>
  <sheetFormatPr baseColWidth="10" defaultRowHeight="16" x14ac:dyDescent="0.2"/>
  <cols>
    <col min="1" max="1" width="21" customWidth="1"/>
    <col min="2" max="2" width="20.83203125" customWidth="1"/>
    <col min="3" max="3" width="23.33203125" customWidth="1"/>
    <col min="4" max="4" width="15.1640625" customWidth="1"/>
    <col min="15" max="15" width="15.6640625" customWidth="1"/>
    <col min="16" max="16" width="16" customWidth="1"/>
    <col min="17" max="17" width="18.83203125" customWidth="1"/>
    <col min="18" max="18" width="19.1640625" customWidth="1"/>
    <col min="19" max="19" width="14" bestFit="1" customWidth="1"/>
    <col min="20" max="20" width="16.6640625" bestFit="1" customWidth="1"/>
    <col min="23" max="23" width="14" bestFit="1" customWidth="1"/>
    <col min="26" max="26" width="13" bestFit="1" customWidth="1"/>
  </cols>
  <sheetData>
    <row r="1" spans="1:21" ht="19" x14ac:dyDescent="0.25">
      <c r="A1" s="300" t="s">
        <v>0</v>
      </c>
      <c r="B1" s="302" t="s">
        <v>1</v>
      </c>
      <c r="C1" s="304" t="s">
        <v>2</v>
      </c>
      <c r="G1" s="1" t="s">
        <v>3</v>
      </c>
      <c r="H1" s="2">
        <v>67</v>
      </c>
    </row>
    <row r="2" spans="1:21" x14ac:dyDescent="0.2">
      <c r="A2" s="301"/>
      <c r="B2" s="303"/>
      <c r="C2" s="305"/>
    </row>
    <row r="3" spans="1:21" x14ac:dyDescent="0.2">
      <c r="A3" s="3" t="s">
        <v>4</v>
      </c>
      <c r="B3" s="4">
        <v>32692</v>
      </c>
      <c r="C3" s="5">
        <v>2724</v>
      </c>
    </row>
    <row r="4" spans="1:21" x14ac:dyDescent="0.2">
      <c r="A4" s="6" t="s">
        <v>5</v>
      </c>
      <c r="B4" s="7">
        <v>69750</v>
      </c>
      <c r="C4" s="8">
        <v>6990</v>
      </c>
    </row>
    <row r="6" spans="1:21" x14ac:dyDescent="0.2">
      <c r="A6" s="300" t="s">
        <v>6</v>
      </c>
      <c r="B6" s="302" t="s">
        <v>1</v>
      </c>
      <c r="C6" s="304" t="s">
        <v>2</v>
      </c>
    </row>
    <row r="7" spans="1:21" x14ac:dyDescent="0.2">
      <c r="A7" s="301"/>
      <c r="B7" s="303"/>
      <c r="C7" s="305"/>
    </row>
    <row r="8" spans="1:21" x14ac:dyDescent="0.2">
      <c r="A8" s="3" t="s">
        <v>7</v>
      </c>
      <c r="B8" s="4">
        <v>300000</v>
      </c>
      <c r="C8" s="5">
        <v>3650</v>
      </c>
    </row>
    <row r="9" spans="1:21" x14ac:dyDescent="0.2">
      <c r="A9" s="6" t="s">
        <v>8</v>
      </c>
      <c r="B9" s="9">
        <v>641000</v>
      </c>
      <c r="C9" s="10">
        <v>6250</v>
      </c>
    </row>
    <row r="10" spans="1:21" x14ac:dyDescent="0.2">
      <c r="A10" t="s">
        <v>9</v>
      </c>
    </row>
    <row r="12" spans="1:21" ht="27" customHeight="1" x14ac:dyDescent="0.2">
      <c r="A12" s="11" t="s">
        <v>10</v>
      </c>
      <c r="B12" s="12" t="s">
        <v>11</v>
      </c>
      <c r="C12" s="13" t="s">
        <v>12</v>
      </c>
    </row>
    <row r="13" spans="1:21" x14ac:dyDescent="0.2">
      <c r="A13" s="3" t="s">
        <v>0</v>
      </c>
      <c r="B13">
        <f>+C13*12</f>
        <v>116568</v>
      </c>
      <c r="C13" s="5">
        <f>+C3+C4</f>
        <v>9714</v>
      </c>
    </row>
    <row r="14" spans="1:21" x14ac:dyDescent="0.2">
      <c r="A14" s="6" t="s">
        <v>6</v>
      </c>
      <c r="B14" s="14">
        <f>+C14*12</f>
        <v>118800</v>
      </c>
      <c r="C14" s="10">
        <f>+C8+C9</f>
        <v>9900</v>
      </c>
      <c r="P14" s="212"/>
      <c r="Q14" s="307" t="s">
        <v>13</v>
      </c>
      <c r="R14" s="308"/>
      <c r="S14" s="212"/>
    </row>
    <row r="15" spans="1:21" x14ac:dyDescent="0.2">
      <c r="P15" s="212"/>
      <c r="Q15" s="212"/>
      <c r="R15" s="212"/>
      <c r="S15" s="212"/>
    </row>
    <row r="16" spans="1:21" x14ac:dyDescent="0.2">
      <c r="A16" s="15" t="s">
        <v>197</v>
      </c>
      <c r="B16" s="217"/>
      <c r="C16" s="217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311" t="s">
        <v>14</v>
      </c>
      <c r="Q16" s="218" t="s">
        <v>14</v>
      </c>
      <c r="R16" s="218" t="s">
        <v>14</v>
      </c>
      <c r="S16" s="218" t="s">
        <v>14</v>
      </c>
      <c r="T16" s="218" t="s">
        <v>14</v>
      </c>
      <c r="U16" s="212"/>
    </row>
    <row r="17" spans="1:21" x14ac:dyDescent="0.2"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311"/>
      <c r="Q17" s="218" t="s">
        <v>15</v>
      </c>
      <c r="R17" s="218" t="s">
        <v>15</v>
      </c>
      <c r="S17" s="218" t="s">
        <v>15</v>
      </c>
      <c r="T17" s="218" t="s">
        <v>15</v>
      </c>
      <c r="U17" s="212"/>
    </row>
    <row r="18" spans="1:21" x14ac:dyDescent="0.2">
      <c r="B18" s="212"/>
      <c r="C18" s="212"/>
      <c r="D18" s="219" t="s">
        <v>16</v>
      </c>
      <c r="E18" s="219" t="s">
        <v>17</v>
      </c>
      <c r="F18" s="219" t="s">
        <v>18</v>
      </c>
      <c r="G18" s="219" t="s">
        <v>19</v>
      </c>
      <c r="H18" s="219" t="s">
        <v>20</v>
      </c>
      <c r="I18" s="219" t="s">
        <v>21</v>
      </c>
      <c r="J18" s="219" t="s">
        <v>22</v>
      </c>
      <c r="K18" s="219" t="s">
        <v>23</v>
      </c>
      <c r="L18" s="219" t="s">
        <v>24</v>
      </c>
      <c r="M18" s="219" t="s">
        <v>25</v>
      </c>
      <c r="N18" s="219" t="s">
        <v>26</v>
      </c>
      <c r="O18" s="219" t="s">
        <v>27</v>
      </c>
      <c r="P18" s="220" t="s">
        <v>28</v>
      </c>
      <c r="Q18" s="220" t="s">
        <v>29</v>
      </c>
      <c r="R18" s="220" t="s">
        <v>30</v>
      </c>
      <c r="S18" s="220" t="s">
        <v>155</v>
      </c>
      <c r="T18" s="220" t="s">
        <v>156</v>
      </c>
      <c r="U18" s="212"/>
    </row>
    <row r="19" spans="1:21" ht="18" x14ac:dyDescent="0.2">
      <c r="B19" s="221" t="s">
        <v>31</v>
      </c>
      <c r="C19" s="212"/>
      <c r="D19" s="222">
        <f>+C13+C14</f>
        <v>19614</v>
      </c>
      <c r="E19" s="223">
        <v>19614</v>
      </c>
      <c r="F19" s="223">
        <v>19614</v>
      </c>
      <c r="G19" s="223">
        <v>19614</v>
      </c>
      <c r="H19" s="223">
        <v>19614</v>
      </c>
      <c r="I19" s="223">
        <v>19614</v>
      </c>
      <c r="J19" s="223">
        <v>19614</v>
      </c>
      <c r="K19" s="223">
        <v>19614</v>
      </c>
      <c r="L19" s="223">
        <v>19614</v>
      </c>
      <c r="M19" s="223">
        <v>19614</v>
      </c>
      <c r="N19" s="223">
        <v>19614</v>
      </c>
      <c r="O19" s="223">
        <v>19614</v>
      </c>
      <c r="P19" s="224">
        <f>+SUM(D19:O19)</f>
        <v>235368</v>
      </c>
      <c r="Q19" s="225">
        <f>+P19+250000</f>
        <v>485368</v>
      </c>
      <c r="R19" s="225">
        <f>+Q19*R21+Q19</f>
        <v>970736</v>
      </c>
      <c r="S19" s="225">
        <f>+R19+R19*20%</f>
        <v>1164883.2</v>
      </c>
      <c r="T19" s="225">
        <f>+S19+S19*10%</f>
        <v>1281371.52</v>
      </c>
      <c r="U19" s="212"/>
    </row>
    <row r="20" spans="1:21" ht="18" x14ac:dyDescent="0.2">
      <c r="B20" s="221"/>
      <c r="C20" s="212"/>
      <c r="D20" s="222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6"/>
      <c r="Q20" s="227"/>
      <c r="R20" s="227"/>
      <c r="S20" s="227"/>
      <c r="T20" s="227"/>
      <c r="U20" s="212"/>
    </row>
    <row r="21" spans="1:21" ht="18" x14ac:dyDescent="0.2">
      <c r="B21" s="228" t="s">
        <v>32</v>
      </c>
      <c r="C21" s="212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7"/>
      <c r="Q21" s="230">
        <v>2</v>
      </c>
      <c r="R21" s="230">
        <v>1</v>
      </c>
      <c r="S21" s="230">
        <v>0.3</v>
      </c>
      <c r="T21" s="230">
        <v>0.4</v>
      </c>
      <c r="U21" s="212"/>
    </row>
    <row r="22" spans="1:21" ht="18" x14ac:dyDescent="0.2">
      <c r="B22" s="231" t="s">
        <v>33</v>
      </c>
      <c r="C22" s="212"/>
      <c r="D22" s="232">
        <v>10</v>
      </c>
      <c r="E22" s="232">
        <v>30</v>
      </c>
      <c r="F22" s="232">
        <v>50</v>
      </c>
      <c r="G22" s="232">
        <v>75</v>
      </c>
      <c r="H22" s="232">
        <v>100</v>
      </c>
      <c r="I22" s="232">
        <v>130</v>
      </c>
      <c r="J22" s="232">
        <v>150</v>
      </c>
      <c r="K22" s="232">
        <v>170</v>
      </c>
      <c r="L22" s="232">
        <v>200</v>
      </c>
      <c r="M22" s="232">
        <v>230</v>
      </c>
      <c r="N22" s="232">
        <v>240</v>
      </c>
      <c r="O22" s="232">
        <v>250</v>
      </c>
      <c r="P22" s="233">
        <f t="shared" ref="P22:P24" si="0">+SUM(D22:O22)</f>
        <v>1635</v>
      </c>
      <c r="Q22" s="234">
        <f>+P22+(P22*Q21)</f>
        <v>4905</v>
      </c>
      <c r="R22" s="234">
        <f>+Q22+(Q22*R21)</f>
        <v>9810</v>
      </c>
      <c r="S22" s="234">
        <f>+R22+(R22*S21)</f>
        <v>12753</v>
      </c>
      <c r="T22" s="234">
        <f>+S22+(S22*T21)</f>
        <v>17854.2</v>
      </c>
      <c r="U22" s="212"/>
    </row>
    <row r="23" spans="1:21" ht="18" x14ac:dyDescent="0.2">
      <c r="A23" s="216">
        <v>0.35</v>
      </c>
      <c r="B23" s="235" t="s">
        <v>34</v>
      </c>
      <c r="C23" s="236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6">
        <f t="shared" si="0"/>
        <v>0</v>
      </c>
      <c r="Q23" s="237">
        <f>+Q22*41%</f>
        <v>2011.05</v>
      </c>
      <c r="R23" s="237">
        <f>+R22*$A$23</f>
        <v>3433.5</v>
      </c>
      <c r="S23" s="237">
        <f>+S22*$A$23</f>
        <v>4463.5499999999993</v>
      </c>
      <c r="T23" s="237">
        <f>+T22*$A$23</f>
        <v>6248.97</v>
      </c>
      <c r="U23" s="212"/>
    </row>
    <row r="24" spans="1:21" ht="18" x14ac:dyDescent="0.2">
      <c r="A24" s="216">
        <v>0.59</v>
      </c>
      <c r="B24" s="235" t="s">
        <v>35</v>
      </c>
      <c r="C24" s="236">
        <v>1</v>
      </c>
      <c r="D24" s="222">
        <f>+D22</f>
        <v>10</v>
      </c>
      <c r="E24" s="222">
        <f t="shared" ref="E24:O24" si="1">+E22</f>
        <v>30</v>
      </c>
      <c r="F24" s="222">
        <f t="shared" si="1"/>
        <v>50</v>
      </c>
      <c r="G24" s="222">
        <f t="shared" si="1"/>
        <v>75</v>
      </c>
      <c r="H24" s="222">
        <f t="shared" si="1"/>
        <v>100</v>
      </c>
      <c r="I24" s="222">
        <f t="shared" si="1"/>
        <v>130</v>
      </c>
      <c r="J24" s="222">
        <f t="shared" si="1"/>
        <v>150</v>
      </c>
      <c r="K24" s="222">
        <f t="shared" si="1"/>
        <v>170</v>
      </c>
      <c r="L24" s="222">
        <f t="shared" si="1"/>
        <v>200</v>
      </c>
      <c r="M24" s="222">
        <f t="shared" si="1"/>
        <v>230</v>
      </c>
      <c r="N24" s="222">
        <f t="shared" si="1"/>
        <v>240</v>
      </c>
      <c r="O24" s="222">
        <f t="shared" si="1"/>
        <v>250</v>
      </c>
      <c r="P24" s="226">
        <f t="shared" si="0"/>
        <v>1635</v>
      </c>
      <c r="Q24" s="237">
        <f>+Q22*A24</f>
        <v>2893.95</v>
      </c>
      <c r="R24" s="237">
        <f>+R22*$A$24</f>
        <v>5787.9</v>
      </c>
      <c r="S24" s="237">
        <f>+S22*$A$24</f>
        <v>7524.2699999999995</v>
      </c>
      <c r="T24" s="237">
        <f>+T22*$A$24</f>
        <v>10533.977999999999</v>
      </c>
      <c r="U24" s="212"/>
    </row>
    <row r="25" spans="1:21" ht="18" x14ac:dyDescent="0.2">
      <c r="A25" s="216">
        <v>0.06</v>
      </c>
      <c r="B25" s="235" t="s">
        <v>36</v>
      </c>
      <c r="C25" s="236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6"/>
      <c r="Q25" s="237"/>
      <c r="R25" s="237">
        <f>+R22*$A$25</f>
        <v>588.6</v>
      </c>
      <c r="S25" s="237">
        <f>+S22*$A$25</f>
        <v>765.18</v>
      </c>
      <c r="T25" s="237">
        <f>+T22*$A$25</f>
        <v>1071.252</v>
      </c>
      <c r="U25" s="212"/>
    </row>
    <row r="26" spans="1:21" x14ac:dyDescent="0.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27"/>
      <c r="Q26" s="227"/>
      <c r="R26" s="237"/>
      <c r="S26" s="237"/>
      <c r="T26" s="237"/>
      <c r="U26" s="212"/>
    </row>
    <row r="27" spans="1:21" ht="18" x14ac:dyDescent="0.2">
      <c r="B27" s="228" t="s">
        <v>37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27"/>
      <c r="Q27" s="227"/>
      <c r="R27" s="227"/>
      <c r="S27" s="227"/>
      <c r="T27" s="227"/>
      <c r="U27" s="212"/>
    </row>
    <row r="28" spans="1:21" ht="18" x14ac:dyDescent="0.2">
      <c r="A28" s="23"/>
      <c r="B28" s="235" t="s">
        <v>34</v>
      </c>
      <c r="C28" s="238">
        <v>82</v>
      </c>
      <c r="D28" s="239">
        <f>+D23*$C$28</f>
        <v>0</v>
      </c>
      <c r="E28" s="239">
        <f t="shared" ref="E28:O28" si="2">+E23*$C$28</f>
        <v>0</v>
      </c>
      <c r="F28" s="239">
        <f t="shared" si="2"/>
        <v>0</v>
      </c>
      <c r="G28" s="239">
        <f t="shared" si="2"/>
        <v>0</v>
      </c>
      <c r="H28" s="239">
        <f t="shared" si="2"/>
        <v>0</v>
      </c>
      <c r="I28" s="239">
        <f t="shared" si="2"/>
        <v>0</v>
      </c>
      <c r="J28" s="239">
        <f t="shared" si="2"/>
        <v>0</v>
      </c>
      <c r="K28" s="239">
        <f t="shared" si="2"/>
        <v>0</v>
      </c>
      <c r="L28" s="239">
        <f t="shared" si="2"/>
        <v>0</v>
      </c>
      <c r="M28" s="239">
        <f t="shared" si="2"/>
        <v>0</v>
      </c>
      <c r="N28" s="239">
        <f t="shared" si="2"/>
        <v>0</v>
      </c>
      <c r="O28" s="239">
        <f t="shared" si="2"/>
        <v>0</v>
      </c>
      <c r="P28" s="240">
        <f t="shared" ref="P28:P41" si="3">+SUM(D28:O28)</f>
        <v>0</v>
      </c>
      <c r="Q28" s="241">
        <f>+Q23*$C$28</f>
        <v>164906.1</v>
      </c>
      <c r="R28" s="241">
        <f>+R23*$C$28</f>
        <v>281547</v>
      </c>
      <c r="S28" s="241">
        <f>+S23*$C$28</f>
        <v>366011.09999999992</v>
      </c>
      <c r="T28" s="241">
        <f>+T23*$C$28</f>
        <v>512415.54000000004</v>
      </c>
      <c r="U28" s="212"/>
    </row>
    <row r="29" spans="1:21" ht="18" x14ac:dyDescent="0.2">
      <c r="B29" s="235" t="s">
        <v>35</v>
      </c>
      <c r="C29" s="238">
        <v>328</v>
      </c>
      <c r="D29" s="239">
        <f>+D24*$C$29</f>
        <v>3280</v>
      </c>
      <c r="E29" s="239">
        <f t="shared" ref="E29:O29" si="4">+E24*$C$29</f>
        <v>9840</v>
      </c>
      <c r="F29" s="239">
        <f t="shared" si="4"/>
        <v>16400</v>
      </c>
      <c r="G29" s="239">
        <f t="shared" si="4"/>
        <v>24600</v>
      </c>
      <c r="H29" s="239">
        <f t="shared" si="4"/>
        <v>32800</v>
      </c>
      <c r="I29" s="239">
        <f t="shared" si="4"/>
        <v>42640</v>
      </c>
      <c r="J29" s="239">
        <f t="shared" si="4"/>
        <v>49200</v>
      </c>
      <c r="K29" s="239">
        <f t="shared" si="4"/>
        <v>55760</v>
      </c>
      <c r="L29" s="239">
        <f t="shared" si="4"/>
        <v>65600</v>
      </c>
      <c r="M29" s="239">
        <f t="shared" si="4"/>
        <v>75440</v>
      </c>
      <c r="N29" s="239">
        <f t="shared" si="4"/>
        <v>78720</v>
      </c>
      <c r="O29" s="239">
        <f t="shared" si="4"/>
        <v>82000</v>
      </c>
      <c r="P29" s="240">
        <f t="shared" si="3"/>
        <v>536280</v>
      </c>
      <c r="Q29" s="241">
        <f>+Q24*$C$29</f>
        <v>949215.6</v>
      </c>
      <c r="R29" s="241">
        <f>+R24*$C$29</f>
        <v>1898431.2</v>
      </c>
      <c r="S29" s="241">
        <f>+S24*$C$29</f>
        <v>2467960.56</v>
      </c>
      <c r="T29" s="241">
        <f>+T24*$C$29</f>
        <v>3455144.7839999995</v>
      </c>
      <c r="U29" s="212"/>
    </row>
    <row r="30" spans="1:21" ht="18" x14ac:dyDescent="0.2">
      <c r="B30" s="235" t="s">
        <v>36</v>
      </c>
      <c r="C30" s="238">
        <v>746</v>
      </c>
      <c r="D30" s="239">
        <f>+D25*$C$30</f>
        <v>0</v>
      </c>
      <c r="E30" s="239">
        <f t="shared" ref="E30:O30" si="5">+E25*$C$30</f>
        <v>0</v>
      </c>
      <c r="F30" s="239">
        <f t="shared" si="5"/>
        <v>0</v>
      </c>
      <c r="G30" s="239">
        <f t="shared" si="5"/>
        <v>0</v>
      </c>
      <c r="H30" s="239">
        <f t="shared" si="5"/>
        <v>0</v>
      </c>
      <c r="I30" s="239">
        <f t="shared" si="5"/>
        <v>0</v>
      </c>
      <c r="J30" s="239">
        <f t="shared" si="5"/>
        <v>0</v>
      </c>
      <c r="K30" s="239">
        <f t="shared" si="5"/>
        <v>0</v>
      </c>
      <c r="L30" s="239">
        <f t="shared" si="5"/>
        <v>0</v>
      </c>
      <c r="M30" s="239">
        <f t="shared" si="5"/>
        <v>0</v>
      </c>
      <c r="N30" s="239">
        <f t="shared" si="5"/>
        <v>0</v>
      </c>
      <c r="O30" s="239">
        <f t="shared" si="5"/>
        <v>0</v>
      </c>
      <c r="P30" s="240">
        <f t="shared" si="3"/>
        <v>0</v>
      </c>
      <c r="Q30" s="241">
        <f>+Q25*$C$30</f>
        <v>0</v>
      </c>
      <c r="R30" s="241">
        <f>+R25*$C$30</f>
        <v>439095.60000000003</v>
      </c>
      <c r="S30" s="241">
        <f>+S25*$C$30</f>
        <v>570824.27999999991</v>
      </c>
      <c r="T30" s="241">
        <f>+T25*$C$30</f>
        <v>799153.99199999997</v>
      </c>
      <c r="U30" s="212"/>
    </row>
    <row r="31" spans="1:21" ht="18" x14ac:dyDescent="0.2">
      <c r="B31" s="309" t="s">
        <v>38</v>
      </c>
      <c r="C31" s="309"/>
      <c r="D31" s="242">
        <f>+SUM(D28:D30)</f>
        <v>3280</v>
      </c>
      <c r="E31" s="242">
        <f t="shared" ref="E31:O31" si="6">+SUM(E28:E30)</f>
        <v>9840</v>
      </c>
      <c r="F31" s="242">
        <f t="shared" si="6"/>
        <v>16400</v>
      </c>
      <c r="G31" s="242">
        <f t="shared" si="6"/>
        <v>24600</v>
      </c>
      <c r="H31" s="242">
        <f t="shared" si="6"/>
        <v>32800</v>
      </c>
      <c r="I31" s="242">
        <f t="shared" si="6"/>
        <v>42640</v>
      </c>
      <c r="J31" s="242">
        <f t="shared" si="6"/>
        <v>49200</v>
      </c>
      <c r="K31" s="242">
        <f t="shared" si="6"/>
        <v>55760</v>
      </c>
      <c r="L31" s="242">
        <f t="shared" si="6"/>
        <v>65600</v>
      </c>
      <c r="M31" s="242">
        <f t="shared" si="6"/>
        <v>75440</v>
      </c>
      <c r="N31" s="242">
        <f t="shared" si="6"/>
        <v>78720</v>
      </c>
      <c r="O31" s="242">
        <f t="shared" si="6"/>
        <v>82000</v>
      </c>
      <c r="P31" s="243">
        <f t="shared" si="3"/>
        <v>536280</v>
      </c>
      <c r="Q31" s="244">
        <f>+SUM(Q28:Q30)</f>
        <v>1114121.7</v>
      </c>
      <c r="R31" s="244">
        <f>+SUM(R28:R30)</f>
        <v>2619073.8000000003</v>
      </c>
      <c r="S31" s="244">
        <f>+SUM(S28:S30)</f>
        <v>3404795.94</v>
      </c>
      <c r="T31" s="244">
        <f>+SUM(T28:T30)</f>
        <v>4766714.3159999996</v>
      </c>
      <c r="U31" s="212"/>
    </row>
    <row r="32" spans="1:21" ht="18" x14ac:dyDescent="0.2">
      <c r="B32" s="235"/>
      <c r="C32" s="212"/>
      <c r="D32" s="245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26"/>
      <c r="Q32" s="227"/>
      <c r="R32" s="227"/>
      <c r="S32" s="227"/>
      <c r="T32" s="227"/>
      <c r="U32" s="212"/>
    </row>
    <row r="33" spans="1:21" ht="18" x14ac:dyDescent="0.2">
      <c r="A33" s="216">
        <v>0.75</v>
      </c>
      <c r="B33" s="235" t="s">
        <v>49</v>
      </c>
      <c r="C33" s="236"/>
      <c r="D33" s="239">
        <f>+D28*$C$28</f>
        <v>0</v>
      </c>
      <c r="E33" s="239">
        <f t="shared" ref="E33:O33" si="7">+E28*$C$28</f>
        <v>0</v>
      </c>
      <c r="F33" s="239">
        <f t="shared" si="7"/>
        <v>0</v>
      </c>
      <c r="G33" s="239">
        <f t="shared" si="7"/>
        <v>0</v>
      </c>
      <c r="H33" s="239">
        <f t="shared" si="7"/>
        <v>0</v>
      </c>
      <c r="I33" s="239">
        <f t="shared" si="7"/>
        <v>0</v>
      </c>
      <c r="J33" s="239">
        <f t="shared" si="7"/>
        <v>0</v>
      </c>
      <c r="K33" s="239">
        <f t="shared" si="7"/>
        <v>0</v>
      </c>
      <c r="L33" s="239">
        <f t="shared" si="7"/>
        <v>0</v>
      </c>
      <c r="M33" s="239">
        <f t="shared" si="7"/>
        <v>0</v>
      </c>
      <c r="N33" s="239">
        <f t="shared" si="7"/>
        <v>0</v>
      </c>
      <c r="O33" s="239">
        <f t="shared" si="7"/>
        <v>0</v>
      </c>
      <c r="P33" s="246">
        <f t="shared" si="3"/>
        <v>0</v>
      </c>
      <c r="Q33" s="247">
        <f>+Q80</f>
        <v>73532.032200000001</v>
      </c>
      <c r="R33" s="247">
        <f>+T80</f>
        <v>235716.64199999999</v>
      </c>
      <c r="S33" s="247">
        <f>+W80</f>
        <v>306431.63459999999</v>
      </c>
      <c r="T33" s="247">
        <f>+Z80</f>
        <v>429004.28843999997</v>
      </c>
      <c r="U33" s="212"/>
    </row>
    <row r="34" spans="1:21" ht="18" x14ac:dyDescent="0.2">
      <c r="A34" s="216">
        <v>0.15</v>
      </c>
      <c r="B34" s="235" t="s">
        <v>50</v>
      </c>
      <c r="C34" s="236">
        <v>1</v>
      </c>
      <c r="D34" s="245">
        <v>393.59999999999997</v>
      </c>
      <c r="E34" s="245">
        <v>1180.8</v>
      </c>
      <c r="F34" s="245">
        <v>1968</v>
      </c>
      <c r="G34" s="245">
        <v>2952</v>
      </c>
      <c r="H34" s="245">
        <v>3936</v>
      </c>
      <c r="I34" s="245">
        <v>5116.8</v>
      </c>
      <c r="J34" s="245">
        <v>5904</v>
      </c>
      <c r="K34" s="245">
        <v>6691.2</v>
      </c>
      <c r="L34" s="245">
        <v>7872</v>
      </c>
      <c r="M34" s="245">
        <v>9052.7999999999993</v>
      </c>
      <c r="N34" s="245">
        <v>9446.4</v>
      </c>
      <c r="O34" s="245">
        <v>9840</v>
      </c>
      <c r="P34" s="246">
        <f t="shared" si="3"/>
        <v>64353.599999999999</v>
      </c>
      <c r="Q34" s="247">
        <f>+Q83</f>
        <v>70189.667100000006</v>
      </c>
      <c r="R34" s="247">
        <f>+T83</f>
        <v>55000.549800000008</v>
      </c>
      <c r="S34" s="247">
        <f>+W83</f>
        <v>71500.714739999996</v>
      </c>
      <c r="T34" s="247">
        <f>+Z83</f>
        <v>100101.000636</v>
      </c>
      <c r="U34" s="212"/>
    </row>
    <row r="35" spans="1:21" ht="18" x14ac:dyDescent="0.2">
      <c r="A35" s="216">
        <v>0.1</v>
      </c>
      <c r="B35" s="235" t="s">
        <v>51</v>
      </c>
      <c r="C35" s="236"/>
      <c r="D35" s="239">
        <f>+D30*$C$28</f>
        <v>0</v>
      </c>
      <c r="E35" s="239">
        <f t="shared" ref="E35:O35" si="8">+E30*$C$28</f>
        <v>0</v>
      </c>
      <c r="F35" s="239">
        <f t="shared" si="8"/>
        <v>0</v>
      </c>
      <c r="G35" s="239">
        <f t="shared" si="8"/>
        <v>0</v>
      </c>
      <c r="H35" s="239">
        <f t="shared" si="8"/>
        <v>0</v>
      </c>
      <c r="I35" s="239">
        <f t="shared" si="8"/>
        <v>0</v>
      </c>
      <c r="J35" s="239">
        <f t="shared" si="8"/>
        <v>0</v>
      </c>
      <c r="K35" s="239">
        <f t="shared" si="8"/>
        <v>0</v>
      </c>
      <c r="L35" s="239">
        <f t="shared" si="8"/>
        <v>0</v>
      </c>
      <c r="M35" s="239">
        <f t="shared" si="8"/>
        <v>0</v>
      </c>
      <c r="N35" s="239">
        <f t="shared" si="8"/>
        <v>0</v>
      </c>
      <c r="O35" s="239">
        <f t="shared" si="8"/>
        <v>0</v>
      </c>
      <c r="P35" s="246">
        <f t="shared" si="3"/>
        <v>0</v>
      </c>
      <c r="Q35" s="247"/>
      <c r="R35" s="247">
        <f>+T86</f>
        <v>41905.180800000009</v>
      </c>
      <c r="S35" s="247">
        <f>+W86</f>
        <v>54476.735040000007</v>
      </c>
      <c r="T35" s="247">
        <f>+Z86</f>
        <v>76267.429056000008</v>
      </c>
      <c r="U35" s="212"/>
    </row>
    <row r="36" spans="1:21" ht="18" x14ac:dyDescent="0.2">
      <c r="B36" s="248" t="s">
        <v>52</v>
      </c>
      <c r="C36" s="212"/>
      <c r="D36" s="249">
        <f>+SUM(D33:D35)</f>
        <v>393.59999999999997</v>
      </c>
      <c r="E36" s="249">
        <f t="shared" ref="E36:O36" si="9">+SUM(E33:E35)</f>
        <v>1180.8</v>
      </c>
      <c r="F36" s="249">
        <f t="shared" si="9"/>
        <v>1968</v>
      </c>
      <c r="G36" s="249">
        <f t="shared" si="9"/>
        <v>2952</v>
      </c>
      <c r="H36" s="249">
        <f t="shared" si="9"/>
        <v>3936</v>
      </c>
      <c r="I36" s="249">
        <f t="shared" si="9"/>
        <v>5116.8</v>
      </c>
      <c r="J36" s="249">
        <f t="shared" si="9"/>
        <v>5904</v>
      </c>
      <c r="K36" s="249">
        <f t="shared" si="9"/>
        <v>6691.2</v>
      </c>
      <c r="L36" s="249">
        <f t="shared" si="9"/>
        <v>7872</v>
      </c>
      <c r="M36" s="249">
        <f t="shared" si="9"/>
        <v>9052.7999999999993</v>
      </c>
      <c r="N36" s="249">
        <f t="shared" si="9"/>
        <v>9446.4</v>
      </c>
      <c r="O36" s="249">
        <f t="shared" si="9"/>
        <v>9840</v>
      </c>
      <c r="P36" s="250">
        <f t="shared" si="3"/>
        <v>64353.599999999999</v>
      </c>
      <c r="Q36" s="251">
        <f>+SUM(Q33:Q35)</f>
        <v>143721.69930000001</v>
      </c>
      <c r="R36" s="251">
        <f>+SUM(R33:R35)</f>
        <v>332622.37260000006</v>
      </c>
      <c r="S36" s="251">
        <f>+SUM(S33:S35)</f>
        <v>432409.08437999996</v>
      </c>
      <c r="T36" s="251">
        <f>+SUM(T33:T35)</f>
        <v>605372.71813199995</v>
      </c>
      <c r="U36" s="212"/>
    </row>
    <row r="37" spans="1:21" x14ac:dyDescent="0.2"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46"/>
      <c r="Q37" s="227"/>
      <c r="R37" s="227"/>
      <c r="S37" s="227"/>
      <c r="T37" s="227"/>
      <c r="U37" s="212"/>
    </row>
    <row r="38" spans="1:21" x14ac:dyDescent="0.2"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46"/>
      <c r="Q38" s="227"/>
      <c r="R38" s="227"/>
      <c r="S38" s="227"/>
      <c r="T38" s="227"/>
      <c r="U38" s="212"/>
    </row>
    <row r="39" spans="1:21" ht="18" x14ac:dyDescent="0.2">
      <c r="B39" s="248" t="s">
        <v>53</v>
      </c>
      <c r="C39" s="212"/>
      <c r="D39" s="252">
        <v>6.2686567164179117</v>
      </c>
      <c r="E39" s="252">
        <v>18.805970149253735</v>
      </c>
      <c r="F39" s="252">
        <v>31.343283582089555</v>
      </c>
      <c r="G39" s="252">
        <v>47.014925373134332</v>
      </c>
      <c r="H39" s="252">
        <v>62.68656716417911</v>
      </c>
      <c r="I39" s="252">
        <v>81.492537313432848</v>
      </c>
      <c r="J39" s="252">
        <v>94.029850746268664</v>
      </c>
      <c r="K39" s="252">
        <v>106.56716417910448</v>
      </c>
      <c r="L39" s="252">
        <v>125.37313432835822</v>
      </c>
      <c r="M39" s="252">
        <v>144.17910447761196</v>
      </c>
      <c r="N39" s="252">
        <v>150.44776119402988</v>
      </c>
      <c r="O39" s="252">
        <v>156.71641791044777</v>
      </c>
      <c r="P39" s="250">
        <f t="shared" si="3"/>
        <v>1024.9253731343285</v>
      </c>
      <c r="Q39" s="253">
        <f>+P39+P39*5%</f>
        <v>1076.171641791045</v>
      </c>
      <c r="R39" s="251">
        <f>+Q39*R21+Q39</f>
        <v>2152.34328358209</v>
      </c>
      <c r="S39" s="251">
        <f>+R39*S21+R39</f>
        <v>2798.0462686567171</v>
      </c>
      <c r="T39" s="251">
        <f>+S39*T21+S39</f>
        <v>3917.2647761194039</v>
      </c>
      <c r="U39" s="212"/>
    </row>
    <row r="40" spans="1:21" x14ac:dyDescent="0.2">
      <c r="B40" s="212"/>
      <c r="C40" s="212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46"/>
      <c r="Q40" s="227"/>
      <c r="R40" s="227"/>
      <c r="S40" s="227"/>
      <c r="T40" s="227"/>
      <c r="U40" s="212"/>
    </row>
    <row r="41" spans="1:21" ht="18" x14ac:dyDescent="0.2">
      <c r="B41" s="248" t="s">
        <v>54</v>
      </c>
      <c r="C41" s="212"/>
      <c r="D41" s="252">
        <v>3.54</v>
      </c>
      <c r="E41" s="252">
        <v>7.08</v>
      </c>
      <c r="F41" s="252">
        <v>8.85</v>
      </c>
      <c r="G41" s="252">
        <v>17.7</v>
      </c>
      <c r="H41" s="252">
        <v>26.55</v>
      </c>
      <c r="I41" s="252">
        <v>35.4</v>
      </c>
      <c r="J41" s="252">
        <v>35.4</v>
      </c>
      <c r="K41" s="252">
        <v>35.4</v>
      </c>
      <c r="L41" s="252">
        <v>38.94</v>
      </c>
      <c r="M41" s="252">
        <v>42.480000000000004</v>
      </c>
      <c r="N41" s="252">
        <v>53.1</v>
      </c>
      <c r="O41" s="252">
        <v>56.64</v>
      </c>
      <c r="P41" s="255">
        <f t="shared" si="3"/>
        <v>361.08000000000004</v>
      </c>
      <c r="Q41" s="256">
        <f>+P41*Q21+P41</f>
        <v>1083.2400000000002</v>
      </c>
      <c r="R41" s="256">
        <f>+Q41*R21+Q41</f>
        <v>2166.4800000000005</v>
      </c>
      <c r="S41" s="256">
        <f>+R41*S21+R41</f>
        <v>2816.4240000000004</v>
      </c>
      <c r="T41" s="256">
        <f>+S41*T21+S41</f>
        <v>3942.9936000000007</v>
      </c>
      <c r="U41" s="212"/>
    </row>
    <row r="42" spans="1:21" x14ac:dyDescent="0.2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</row>
    <row r="43" spans="1:21" ht="18" x14ac:dyDescent="0.2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310" t="s">
        <v>39</v>
      </c>
      <c r="O43" s="310"/>
      <c r="P43" s="257">
        <f>+P36+P39+P41</f>
        <v>65739.605373134327</v>
      </c>
      <c r="Q43" s="257">
        <f>+Q36+Q39+Q41</f>
        <v>145881.11094179103</v>
      </c>
      <c r="R43" s="257">
        <f>+R36+R39+R41</f>
        <v>336941.19588358211</v>
      </c>
      <c r="S43" s="257">
        <f>+S36+S39+S41</f>
        <v>438023.55464865669</v>
      </c>
      <c r="T43" s="257">
        <f>+T36+T39+T41</f>
        <v>613232.97650811938</v>
      </c>
      <c r="U43" s="212"/>
    </row>
    <row r="44" spans="1:21" x14ac:dyDescent="0.2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</row>
    <row r="45" spans="1:21" x14ac:dyDescent="0.2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</row>
    <row r="47" spans="1:21" x14ac:dyDescent="0.2">
      <c r="P47" s="261"/>
      <c r="Q47" s="34"/>
    </row>
    <row r="48" spans="1:21" x14ac:dyDescent="0.2">
      <c r="P48" s="262"/>
      <c r="Q48" s="33"/>
      <c r="R48" s="317"/>
    </row>
    <row r="65" spans="2:26" x14ac:dyDescent="0.2">
      <c r="C65" s="17">
        <v>3280</v>
      </c>
      <c r="D65" s="17">
        <v>9840</v>
      </c>
      <c r="E65" s="17">
        <v>16400</v>
      </c>
      <c r="F65" s="17">
        <v>24600</v>
      </c>
      <c r="G65" s="17">
        <v>32800</v>
      </c>
      <c r="H65" s="17">
        <v>42640</v>
      </c>
      <c r="I65" s="17">
        <v>49200</v>
      </c>
      <c r="J65" s="17">
        <v>55760</v>
      </c>
      <c r="K65" s="17">
        <v>65600</v>
      </c>
      <c r="L65" s="17">
        <v>75440</v>
      </c>
      <c r="M65" s="17">
        <v>78720</v>
      </c>
      <c r="N65" s="17">
        <v>82000</v>
      </c>
    </row>
    <row r="66" spans="2:26" x14ac:dyDescent="0.2">
      <c r="B66" s="19">
        <v>1</v>
      </c>
      <c r="C66" s="20">
        <f>+$B$66*C65</f>
        <v>3280</v>
      </c>
      <c r="D66" s="20">
        <f t="shared" ref="D66:N66" si="10">+$B$66*D65</f>
        <v>9840</v>
      </c>
      <c r="E66" s="20">
        <f t="shared" si="10"/>
        <v>16400</v>
      </c>
      <c r="F66" s="20">
        <f t="shared" si="10"/>
        <v>24600</v>
      </c>
      <c r="G66" s="20">
        <f t="shared" si="10"/>
        <v>32800</v>
      </c>
      <c r="H66" s="20">
        <f t="shared" si="10"/>
        <v>42640</v>
      </c>
      <c r="I66" s="20">
        <f t="shared" si="10"/>
        <v>49200</v>
      </c>
      <c r="J66" s="20">
        <f t="shared" si="10"/>
        <v>55760</v>
      </c>
      <c r="K66" s="20">
        <f t="shared" si="10"/>
        <v>65600</v>
      </c>
      <c r="L66" s="20">
        <f t="shared" si="10"/>
        <v>75440</v>
      </c>
      <c r="M66" s="20">
        <f t="shared" si="10"/>
        <v>78720</v>
      </c>
      <c r="N66" s="20">
        <f t="shared" si="10"/>
        <v>82000</v>
      </c>
    </row>
    <row r="67" spans="2:26" x14ac:dyDescent="0.2">
      <c r="B67" s="21">
        <v>0.14000000000000001</v>
      </c>
      <c r="C67" s="22">
        <f>+$B$80*C66</f>
        <v>393.59999999999997</v>
      </c>
      <c r="D67" s="22">
        <f t="shared" ref="D67:N67" si="11">+$B$80*D66</f>
        <v>1180.8</v>
      </c>
      <c r="E67" s="22">
        <f t="shared" si="11"/>
        <v>1968</v>
      </c>
      <c r="F67" s="22">
        <f t="shared" si="11"/>
        <v>2952</v>
      </c>
      <c r="G67" s="22">
        <f t="shared" si="11"/>
        <v>3936</v>
      </c>
      <c r="H67" s="22">
        <f t="shared" si="11"/>
        <v>5116.8</v>
      </c>
      <c r="I67" s="22">
        <f t="shared" si="11"/>
        <v>5904</v>
      </c>
      <c r="J67" s="22">
        <f t="shared" si="11"/>
        <v>6691.2</v>
      </c>
      <c r="K67" s="22">
        <f t="shared" si="11"/>
        <v>7872</v>
      </c>
      <c r="L67" s="22">
        <f t="shared" si="11"/>
        <v>9052.7999999999993</v>
      </c>
      <c r="M67" s="22">
        <f t="shared" si="11"/>
        <v>9446.4</v>
      </c>
      <c r="N67" s="22">
        <f t="shared" si="11"/>
        <v>9840</v>
      </c>
    </row>
    <row r="76" spans="2:26" ht="19" x14ac:dyDescent="0.2">
      <c r="B76" s="306" t="s">
        <v>40</v>
      </c>
      <c r="C76" s="306"/>
      <c r="D76" s="306"/>
    </row>
    <row r="78" spans="2:26" x14ac:dyDescent="0.2">
      <c r="C78" s="17">
        <v>2669.7999999999997</v>
      </c>
      <c r="D78" s="17">
        <v>8009.4</v>
      </c>
      <c r="E78" s="17">
        <v>13349</v>
      </c>
      <c r="F78" s="17">
        <v>20023.5</v>
      </c>
      <c r="G78" s="17">
        <v>26698</v>
      </c>
      <c r="H78" s="17">
        <v>34707.4</v>
      </c>
      <c r="I78" s="17">
        <v>40047</v>
      </c>
      <c r="J78" s="17">
        <v>45386.6</v>
      </c>
      <c r="K78" s="17">
        <v>53396</v>
      </c>
      <c r="L78" s="17">
        <v>61405.399999999994</v>
      </c>
      <c r="M78" s="17">
        <v>64075.199999999997</v>
      </c>
      <c r="N78" s="17">
        <v>66745</v>
      </c>
      <c r="Q78" s="17">
        <v>1114121.7</v>
      </c>
      <c r="T78" s="17">
        <v>2619073.8000000003</v>
      </c>
      <c r="W78" s="17">
        <v>3404795.94</v>
      </c>
      <c r="Z78" s="17">
        <v>4766714.3159999996</v>
      </c>
    </row>
    <row r="79" spans="2:26" x14ac:dyDescent="0.2">
      <c r="B79" s="19">
        <v>0.75</v>
      </c>
      <c r="C79" s="20">
        <f>+$B$79*C78</f>
        <v>2002.35</v>
      </c>
      <c r="D79" s="20">
        <f t="shared" ref="D79:N79" si="12">+$B$79*D78</f>
        <v>6007.0499999999993</v>
      </c>
      <c r="E79" s="20">
        <f t="shared" si="12"/>
        <v>10011.75</v>
      </c>
      <c r="F79" s="20">
        <f t="shared" si="12"/>
        <v>15017.625</v>
      </c>
      <c r="G79" s="20">
        <f t="shared" si="12"/>
        <v>20023.5</v>
      </c>
      <c r="H79" s="20">
        <f t="shared" si="12"/>
        <v>26030.550000000003</v>
      </c>
      <c r="I79" s="20">
        <f t="shared" si="12"/>
        <v>30035.25</v>
      </c>
      <c r="J79" s="20">
        <f t="shared" si="12"/>
        <v>34039.949999999997</v>
      </c>
      <c r="K79" s="20">
        <f t="shared" si="12"/>
        <v>40047</v>
      </c>
      <c r="L79" s="20">
        <f t="shared" si="12"/>
        <v>46054.049999999996</v>
      </c>
      <c r="M79" s="20">
        <f t="shared" si="12"/>
        <v>48056.399999999994</v>
      </c>
      <c r="N79" s="20">
        <f t="shared" si="12"/>
        <v>50058.75</v>
      </c>
      <c r="P79" s="19">
        <v>0.55000000000000004</v>
      </c>
      <c r="Q79" s="20">
        <f>+Q78*P79</f>
        <v>612766.93500000006</v>
      </c>
      <c r="S79" s="19">
        <v>0.75</v>
      </c>
      <c r="T79" s="20">
        <f>+T78*S79</f>
        <v>1964305.35</v>
      </c>
      <c r="V79" s="19">
        <v>0.75</v>
      </c>
      <c r="W79" s="20">
        <f>+W78*V79</f>
        <v>2553596.9550000001</v>
      </c>
      <c r="Y79" s="19">
        <v>0.75</v>
      </c>
      <c r="Z79" s="20">
        <f>+Z78*Y79</f>
        <v>3575035.7369999997</v>
      </c>
    </row>
    <row r="80" spans="2:26" x14ac:dyDescent="0.2">
      <c r="B80" s="21">
        <v>0.12</v>
      </c>
      <c r="C80" s="22">
        <f>+$B$80*C79</f>
        <v>240.28199999999998</v>
      </c>
      <c r="D80" s="22">
        <f t="shared" ref="D80:N80" si="13">+$B$80*D79</f>
        <v>720.84599999999989</v>
      </c>
      <c r="E80" s="22">
        <f t="shared" si="13"/>
        <v>1201.4099999999999</v>
      </c>
      <c r="F80" s="22">
        <f t="shared" si="13"/>
        <v>1802.115</v>
      </c>
      <c r="G80" s="22">
        <f t="shared" si="13"/>
        <v>2402.8199999999997</v>
      </c>
      <c r="H80" s="22">
        <f t="shared" si="13"/>
        <v>3123.6660000000002</v>
      </c>
      <c r="I80" s="22">
        <f t="shared" si="13"/>
        <v>3604.23</v>
      </c>
      <c r="J80" s="22">
        <f t="shared" si="13"/>
        <v>4084.7939999999994</v>
      </c>
      <c r="K80" s="22">
        <f t="shared" si="13"/>
        <v>4805.6399999999994</v>
      </c>
      <c r="L80" s="22">
        <f t="shared" si="13"/>
        <v>5526.485999999999</v>
      </c>
      <c r="M80" s="22">
        <f t="shared" si="13"/>
        <v>5766.7679999999991</v>
      </c>
      <c r="N80" s="22">
        <f t="shared" si="13"/>
        <v>6007.05</v>
      </c>
      <c r="P80" s="21">
        <v>0.12</v>
      </c>
      <c r="Q80" s="22">
        <f>+Q79*P80</f>
        <v>73532.032200000001</v>
      </c>
      <c r="S80" s="21">
        <v>0.12</v>
      </c>
      <c r="T80" s="22">
        <f>+T79*S80</f>
        <v>235716.64199999999</v>
      </c>
      <c r="V80" s="21">
        <v>0.12</v>
      </c>
      <c r="W80" s="22">
        <f>+W79*V80</f>
        <v>306431.63459999999</v>
      </c>
      <c r="Y80" s="21">
        <v>0.12</v>
      </c>
      <c r="Z80" s="22">
        <f>+Z79*Y80</f>
        <v>429004.28843999997</v>
      </c>
    </row>
    <row r="81" spans="2:2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Q81" s="23"/>
      <c r="T81" s="23"/>
      <c r="W81" s="23"/>
      <c r="Z81" s="23"/>
    </row>
    <row r="82" spans="2:26" x14ac:dyDescent="0.2">
      <c r="B82" s="19">
        <v>0.15</v>
      </c>
      <c r="C82" s="20">
        <f>+C78*$B$82</f>
        <v>400.46999999999997</v>
      </c>
      <c r="D82" s="20">
        <f t="shared" ref="D82:N82" si="14">+D78*$B$82</f>
        <v>1201.4099999999999</v>
      </c>
      <c r="E82" s="20">
        <f t="shared" si="14"/>
        <v>2002.35</v>
      </c>
      <c r="F82" s="20">
        <f t="shared" si="14"/>
        <v>3003.5250000000001</v>
      </c>
      <c r="G82" s="20">
        <f t="shared" si="14"/>
        <v>4004.7</v>
      </c>
      <c r="H82" s="20">
        <f t="shared" si="14"/>
        <v>5206.1099999999997</v>
      </c>
      <c r="I82" s="20">
        <f t="shared" si="14"/>
        <v>6007.05</v>
      </c>
      <c r="J82" s="20">
        <f t="shared" si="14"/>
        <v>6807.99</v>
      </c>
      <c r="K82" s="20">
        <f t="shared" si="14"/>
        <v>8009.4</v>
      </c>
      <c r="L82" s="20">
        <f t="shared" si="14"/>
        <v>9210.81</v>
      </c>
      <c r="M82" s="20">
        <f t="shared" si="14"/>
        <v>9611.2799999999988</v>
      </c>
      <c r="N82" s="20">
        <f t="shared" si="14"/>
        <v>10011.75</v>
      </c>
      <c r="P82" s="19">
        <v>0.45</v>
      </c>
      <c r="Q82" s="20">
        <f>+Q78*P82</f>
        <v>501354.76500000001</v>
      </c>
      <c r="S82" s="19">
        <v>0.15</v>
      </c>
      <c r="T82" s="20">
        <f>+T78*S82</f>
        <v>392861.07</v>
      </c>
      <c r="V82" s="19">
        <v>0.15</v>
      </c>
      <c r="W82" s="20">
        <f>+W78*V82</f>
        <v>510719.39099999995</v>
      </c>
      <c r="Y82" s="19">
        <v>0.15</v>
      </c>
      <c r="Z82" s="20">
        <f>+Z78*Y82</f>
        <v>715007.1473999999</v>
      </c>
    </row>
    <row r="83" spans="2:26" x14ac:dyDescent="0.2">
      <c r="B83" s="21">
        <v>0.14000000000000001</v>
      </c>
      <c r="C83" s="24">
        <f>+$B$83*C82</f>
        <v>56.065800000000003</v>
      </c>
      <c r="D83" s="24">
        <f t="shared" ref="D83:N83" si="15">+$B$83*D82</f>
        <v>168.19739999999999</v>
      </c>
      <c r="E83" s="24">
        <f t="shared" si="15"/>
        <v>280.32900000000001</v>
      </c>
      <c r="F83" s="24">
        <f t="shared" si="15"/>
        <v>420.49350000000004</v>
      </c>
      <c r="G83" s="24">
        <f t="shared" si="15"/>
        <v>560.65800000000002</v>
      </c>
      <c r="H83" s="24">
        <f t="shared" si="15"/>
        <v>728.85540000000003</v>
      </c>
      <c r="I83" s="24">
        <f t="shared" si="15"/>
        <v>840.98700000000008</v>
      </c>
      <c r="J83" s="24">
        <f t="shared" si="15"/>
        <v>953.11860000000001</v>
      </c>
      <c r="K83" s="24">
        <f t="shared" si="15"/>
        <v>1121.316</v>
      </c>
      <c r="L83" s="24">
        <f t="shared" si="15"/>
        <v>1289.5134</v>
      </c>
      <c r="M83" s="24">
        <f t="shared" si="15"/>
        <v>1345.5791999999999</v>
      </c>
      <c r="N83" s="24">
        <f t="shared" si="15"/>
        <v>1401.6450000000002</v>
      </c>
      <c r="P83" s="21">
        <v>0.14000000000000001</v>
      </c>
      <c r="Q83" s="24">
        <f>+Q82*P83</f>
        <v>70189.667100000006</v>
      </c>
      <c r="S83" s="21">
        <v>0.14000000000000001</v>
      </c>
      <c r="T83" s="24">
        <f>+T82*S83</f>
        <v>55000.549800000008</v>
      </c>
      <c r="V83" s="21">
        <v>0.14000000000000001</v>
      </c>
      <c r="W83" s="24">
        <f>+W82*V83</f>
        <v>71500.714739999996</v>
      </c>
      <c r="Y83" s="21">
        <v>0.14000000000000001</v>
      </c>
      <c r="Z83" s="24">
        <f>+Z82*Y83</f>
        <v>100101.000636</v>
      </c>
    </row>
    <row r="85" spans="2:26" x14ac:dyDescent="0.2">
      <c r="B85" s="19">
        <v>0.1</v>
      </c>
      <c r="C85" s="18">
        <f>+C78*$B$85</f>
        <v>266.97999999999996</v>
      </c>
      <c r="D85" s="18">
        <f t="shared" ref="D85:N85" si="16">+D78*$B$85</f>
        <v>800.94</v>
      </c>
      <c r="E85" s="18">
        <f t="shared" si="16"/>
        <v>1334.9</v>
      </c>
      <c r="F85" s="18">
        <f t="shared" si="16"/>
        <v>2002.3500000000001</v>
      </c>
      <c r="G85" s="18">
        <f t="shared" si="16"/>
        <v>2669.8</v>
      </c>
      <c r="H85" s="18">
        <f t="shared" si="16"/>
        <v>3470.7400000000002</v>
      </c>
      <c r="I85" s="18">
        <f t="shared" si="16"/>
        <v>4004.7000000000003</v>
      </c>
      <c r="J85" s="18">
        <f t="shared" si="16"/>
        <v>4538.66</v>
      </c>
      <c r="K85" s="18">
        <f t="shared" si="16"/>
        <v>5339.6</v>
      </c>
      <c r="L85" s="18">
        <f t="shared" si="16"/>
        <v>6140.54</v>
      </c>
      <c r="M85" s="18">
        <f t="shared" si="16"/>
        <v>6407.52</v>
      </c>
      <c r="N85" s="18">
        <f t="shared" si="16"/>
        <v>6674.5</v>
      </c>
      <c r="P85" s="19">
        <v>0</v>
      </c>
      <c r="Q85" s="18">
        <f>+Q78*P85</f>
        <v>0</v>
      </c>
      <c r="S85" s="19">
        <v>0.1</v>
      </c>
      <c r="T85" s="18">
        <f>+T78*S85</f>
        <v>261907.38000000003</v>
      </c>
      <c r="V85" s="19">
        <v>0.1</v>
      </c>
      <c r="W85" s="18">
        <f>+W78*V85</f>
        <v>340479.59400000004</v>
      </c>
      <c r="Y85" s="19">
        <v>0.1</v>
      </c>
      <c r="Z85" s="18">
        <f>+Z78*Y85</f>
        <v>476671.43160000001</v>
      </c>
    </row>
    <row r="86" spans="2:26" x14ac:dyDescent="0.2">
      <c r="B86" s="21">
        <v>0.16</v>
      </c>
      <c r="C86" s="24">
        <f>+$B$86*C85</f>
        <v>42.716799999999992</v>
      </c>
      <c r="D86" s="24">
        <f t="shared" ref="D86:N86" si="17">+$B$86*D85</f>
        <v>128.15040000000002</v>
      </c>
      <c r="E86" s="24">
        <f t="shared" si="17"/>
        <v>213.58400000000003</v>
      </c>
      <c r="F86" s="24">
        <f t="shared" si="17"/>
        <v>320.37600000000003</v>
      </c>
      <c r="G86" s="24">
        <f t="shared" si="17"/>
        <v>427.16800000000006</v>
      </c>
      <c r="H86" s="24">
        <f t="shared" si="17"/>
        <v>555.3184</v>
      </c>
      <c r="I86" s="24">
        <f t="shared" si="17"/>
        <v>640.75200000000007</v>
      </c>
      <c r="J86" s="24">
        <f t="shared" si="17"/>
        <v>726.18560000000002</v>
      </c>
      <c r="K86" s="24">
        <f t="shared" si="17"/>
        <v>854.33600000000013</v>
      </c>
      <c r="L86" s="24">
        <f t="shared" si="17"/>
        <v>982.4864</v>
      </c>
      <c r="M86" s="24">
        <f t="shared" si="17"/>
        <v>1025.2032000000002</v>
      </c>
      <c r="N86" s="24">
        <f t="shared" si="17"/>
        <v>1067.92</v>
      </c>
      <c r="P86" s="21">
        <v>0.16</v>
      </c>
      <c r="Q86" s="24">
        <f>+Q85*P86</f>
        <v>0</v>
      </c>
      <c r="S86" s="21">
        <v>0.16</v>
      </c>
      <c r="T86" s="24">
        <f>+T85*S86</f>
        <v>41905.180800000009</v>
      </c>
      <c r="V86" s="21">
        <v>0.16</v>
      </c>
      <c r="W86" s="24">
        <f>+W85*V86</f>
        <v>54476.735040000007</v>
      </c>
      <c r="Y86" s="21">
        <v>0.16</v>
      </c>
      <c r="Z86" s="24">
        <f>+Z85*Y86</f>
        <v>76267.429056000008</v>
      </c>
    </row>
    <row r="90" spans="2:26" ht="19" x14ac:dyDescent="0.2">
      <c r="B90" s="306" t="s">
        <v>41</v>
      </c>
      <c r="C90" s="306"/>
      <c r="D90" s="306"/>
    </row>
    <row r="91" spans="2:26" ht="19" x14ac:dyDescent="0.2">
      <c r="B91" s="25" t="s">
        <v>35</v>
      </c>
      <c r="C91" s="4">
        <v>10</v>
      </c>
      <c r="D91" s="4">
        <v>30</v>
      </c>
      <c r="E91" s="4">
        <v>50</v>
      </c>
      <c r="F91" s="4">
        <v>75</v>
      </c>
      <c r="G91" s="4">
        <v>100</v>
      </c>
      <c r="H91" s="4">
        <v>130</v>
      </c>
      <c r="I91" s="4">
        <v>150</v>
      </c>
      <c r="J91" s="4">
        <v>170</v>
      </c>
      <c r="K91" s="4">
        <v>200</v>
      </c>
      <c r="L91" s="4">
        <v>230</v>
      </c>
      <c r="M91" s="4">
        <v>240</v>
      </c>
      <c r="N91" s="4">
        <v>250</v>
      </c>
      <c r="P91" s="306" t="s">
        <v>41</v>
      </c>
      <c r="Q91" s="306"/>
      <c r="R91" s="306"/>
    </row>
    <row r="92" spans="2:26" x14ac:dyDescent="0.2">
      <c r="B92" s="25" t="s">
        <v>36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P92" s="25" t="s">
        <v>35</v>
      </c>
      <c r="Q92" s="4">
        <v>10</v>
      </c>
      <c r="R92" s="4"/>
    </row>
    <row r="93" spans="2:26" x14ac:dyDescent="0.2">
      <c r="B93" s="26"/>
      <c r="C93" s="27">
        <f>+SUM(C91:C92)</f>
        <v>10</v>
      </c>
      <c r="D93" s="27">
        <f t="shared" ref="D93:N93" si="18">+SUM(D91:D92)</f>
        <v>30</v>
      </c>
      <c r="E93" s="27">
        <f t="shared" si="18"/>
        <v>50</v>
      </c>
      <c r="F93" s="27">
        <f t="shared" si="18"/>
        <v>75</v>
      </c>
      <c r="G93" s="27">
        <f t="shared" si="18"/>
        <v>100</v>
      </c>
      <c r="H93" s="27">
        <f t="shared" si="18"/>
        <v>130</v>
      </c>
      <c r="I93" s="27">
        <f t="shared" si="18"/>
        <v>150</v>
      </c>
      <c r="J93" s="27">
        <f t="shared" si="18"/>
        <v>170</v>
      </c>
      <c r="K93" s="27">
        <f t="shared" si="18"/>
        <v>200</v>
      </c>
      <c r="L93" s="27">
        <f t="shared" si="18"/>
        <v>230</v>
      </c>
      <c r="M93" s="27">
        <f t="shared" si="18"/>
        <v>240</v>
      </c>
      <c r="N93" s="28">
        <f t="shared" si="18"/>
        <v>250</v>
      </c>
      <c r="Q93" s="29">
        <f>+Q92*$B$96</f>
        <v>3134.3283582089553</v>
      </c>
    </row>
    <row r="94" spans="2:26" x14ac:dyDescent="0.2">
      <c r="B94" s="16" t="s">
        <v>42</v>
      </c>
      <c r="C94" s="4">
        <f>+C93*2%</f>
        <v>0.2</v>
      </c>
      <c r="D94" s="4">
        <f>+D93*2%</f>
        <v>0.6</v>
      </c>
      <c r="E94" s="4">
        <f t="shared" ref="E94:N94" si="19">+E93*2%</f>
        <v>1</v>
      </c>
      <c r="F94" s="4">
        <f t="shared" si="19"/>
        <v>1.5</v>
      </c>
      <c r="G94" s="4">
        <f t="shared" si="19"/>
        <v>2</v>
      </c>
      <c r="H94" s="4">
        <f t="shared" si="19"/>
        <v>2.6</v>
      </c>
      <c r="I94" s="4">
        <f t="shared" si="19"/>
        <v>3</v>
      </c>
      <c r="J94" s="4">
        <f t="shared" si="19"/>
        <v>3.4</v>
      </c>
      <c r="K94" s="4">
        <f t="shared" si="19"/>
        <v>4</v>
      </c>
      <c r="L94" s="4">
        <f t="shared" si="19"/>
        <v>4.6000000000000005</v>
      </c>
      <c r="M94" s="4">
        <f t="shared" si="19"/>
        <v>4.8</v>
      </c>
      <c r="N94" s="4">
        <f t="shared" si="19"/>
        <v>5</v>
      </c>
    </row>
    <row r="95" spans="2:26" x14ac:dyDescent="0.2">
      <c r="B95" t="s">
        <v>43</v>
      </c>
      <c r="C95" s="29">
        <f>+C94*$B$96</f>
        <v>62.68656716417911</v>
      </c>
      <c r="D95" s="30">
        <f t="shared" ref="D95:N95" si="20">+D94*$B$96</f>
        <v>188.05970149253733</v>
      </c>
      <c r="E95" s="30">
        <f t="shared" si="20"/>
        <v>313.43283582089555</v>
      </c>
      <c r="F95" s="30">
        <f t="shared" si="20"/>
        <v>470.14925373134332</v>
      </c>
      <c r="G95" s="30">
        <f t="shared" si="20"/>
        <v>626.8656716417911</v>
      </c>
      <c r="H95" s="30">
        <f t="shared" si="20"/>
        <v>814.92537313432842</v>
      </c>
      <c r="I95" s="30">
        <f t="shared" si="20"/>
        <v>940.29850746268664</v>
      </c>
      <c r="J95" s="30">
        <f t="shared" si="20"/>
        <v>1065.6716417910447</v>
      </c>
      <c r="K95" s="30">
        <f t="shared" si="20"/>
        <v>1253.7313432835822</v>
      </c>
      <c r="L95" s="30">
        <f t="shared" si="20"/>
        <v>1441.7910447761196</v>
      </c>
      <c r="M95" s="30">
        <f t="shared" si="20"/>
        <v>1504.4776119402986</v>
      </c>
      <c r="N95" s="30">
        <f t="shared" si="20"/>
        <v>1567.1641791044776</v>
      </c>
    </row>
    <row r="96" spans="2:26" x14ac:dyDescent="0.2">
      <c r="B96" s="31">
        <f>21000/H1</f>
        <v>313.43283582089555</v>
      </c>
      <c r="Q96" s="23">
        <f>+Q93*$B$99</f>
        <v>313.43283582089555</v>
      </c>
    </row>
    <row r="98" spans="1:14" x14ac:dyDescent="0.2">
      <c r="B98" t="s">
        <v>44</v>
      </c>
      <c r="C98" s="23">
        <f>+C95*$B$99</f>
        <v>6.2686567164179117</v>
      </c>
      <c r="D98" s="23">
        <f t="shared" ref="D98:N98" si="21">+D95*$B$99</f>
        <v>18.805970149253735</v>
      </c>
      <c r="E98" s="23">
        <f t="shared" si="21"/>
        <v>31.343283582089555</v>
      </c>
      <c r="F98" s="23">
        <f t="shared" si="21"/>
        <v>47.014925373134332</v>
      </c>
      <c r="G98" s="23">
        <f t="shared" si="21"/>
        <v>62.68656716417911</v>
      </c>
      <c r="H98" s="23">
        <f t="shared" si="21"/>
        <v>81.492537313432848</v>
      </c>
      <c r="I98" s="23">
        <f t="shared" si="21"/>
        <v>94.029850746268664</v>
      </c>
      <c r="J98" s="23">
        <f t="shared" si="21"/>
        <v>106.56716417910448</v>
      </c>
      <c r="K98" s="23">
        <f t="shared" si="21"/>
        <v>125.37313432835822</v>
      </c>
      <c r="L98" s="23">
        <f t="shared" si="21"/>
        <v>144.17910447761196</v>
      </c>
      <c r="M98" s="23">
        <f t="shared" si="21"/>
        <v>150.44776119402988</v>
      </c>
      <c r="N98" s="23">
        <f t="shared" si="21"/>
        <v>156.71641791044777</v>
      </c>
    </row>
    <row r="99" spans="1:14" x14ac:dyDescent="0.2">
      <c r="B99" s="32">
        <v>0.1</v>
      </c>
      <c r="C99" s="23">
        <f>+C96*$B$99</f>
        <v>0</v>
      </c>
    </row>
    <row r="102" spans="1:14" x14ac:dyDescent="0.2">
      <c r="C102" s="33"/>
    </row>
    <row r="103" spans="1:14" ht="19" x14ac:dyDescent="0.2">
      <c r="B103" s="306" t="s">
        <v>45</v>
      </c>
      <c r="C103" s="306"/>
      <c r="D103" s="306"/>
    </row>
    <row r="104" spans="1:14" x14ac:dyDescent="0.2">
      <c r="B104" s="25" t="s">
        <v>35</v>
      </c>
      <c r="C104" s="4">
        <v>5.8999999999999995</v>
      </c>
      <c r="D104" s="4">
        <v>11.799999999999999</v>
      </c>
      <c r="E104" s="4">
        <v>14.75</v>
      </c>
      <c r="F104" s="4">
        <v>29.5</v>
      </c>
      <c r="G104" s="4">
        <v>44.25</v>
      </c>
      <c r="H104" s="4">
        <v>59</v>
      </c>
      <c r="I104" s="4">
        <v>59</v>
      </c>
      <c r="J104" s="4">
        <v>59</v>
      </c>
      <c r="K104" s="4">
        <v>64.899999999999991</v>
      </c>
      <c r="L104" s="4">
        <v>70.8</v>
      </c>
      <c r="M104" s="4">
        <v>88.5</v>
      </c>
      <c r="N104" s="4">
        <v>94.399999999999991</v>
      </c>
    </row>
    <row r="105" spans="1:14" x14ac:dyDescent="0.2">
      <c r="B105" s="25" t="s">
        <v>36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">
      <c r="B106" s="26"/>
      <c r="C106" s="27">
        <f>+SUM(C104:C105)</f>
        <v>5.8999999999999995</v>
      </c>
      <c r="D106" s="27">
        <f t="shared" ref="D106:N106" si="22">+SUM(D104:D105)</f>
        <v>11.799999999999999</v>
      </c>
      <c r="E106" s="27">
        <f t="shared" si="22"/>
        <v>14.75</v>
      </c>
      <c r="F106" s="27">
        <f t="shared" si="22"/>
        <v>29.5</v>
      </c>
      <c r="G106" s="27">
        <f t="shared" si="22"/>
        <v>44.25</v>
      </c>
      <c r="H106" s="27">
        <f t="shared" si="22"/>
        <v>59</v>
      </c>
      <c r="I106" s="27">
        <f t="shared" si="22"/>
        <v>59</v>
      </c>
      <c r="J106" s="27">
        <f t="shared" si="22"/>
        <v>59</v>
      </c>
      <c r="K106" s="27">
        <f t="shared" si="22"/>
        <v>64.899999999999991</v>
      </c>
      <c r="L106" s="27">
        <f t="shared" si="22"/>
        <v>70.8</v>
      </c>
      <c r="M106" s="27">
        <f t="shared" si="22"/>
        <v>88.5</v>
      </c>
      <c r="N106" s="28">
        <f t="shared" si="22"/>
        <v>94.399999999999991</v>
      </c>
    </row>
    <row r="107" spans="1:14" x14ac:dyDescent="0.2">
      <c r="A107" s="34">
        <v>0.2</v>
      </c>
      <c r="B107" s="16" t="s">
        <v>46</v>
      </c>
      <c r="C107" s="4">
        <f>+C106*$A$107</f>
        <v>1.18</v>
      </c>
      <c r="D107" s="4">
        <f t="shared" ref="D107:N107" si="23">+D106*$A$107</f>
        <v>2.36</v>
      </c>
      <c r="E107" s="4">
        <f t="shared" si="23"/>
        <v>2.95</v>
      </c>
      <c r="F107" s="4">
        <f t="shared" si="23"/>
        <v>5.9</v>
      </c>
      <c r="G107" s="4">
        <f t="shared" si="23"/>
        <v>8.85</v>
      </c>
      <c r="H107" s="4">
        <f t="shared" si="23"/>
        <v>11.8</v>
      </c>
      <c r="I107" s="4">
        <f t="shared" si="23"/>
        <v>11.8</v>
      </c>
      <c r="J107" s="4">
        <f t="shared" si="23"/>
        <v>11.8</v>
      </c>
      <c r="K107" s="4">
        <f t="shared" si="23"/>
        <v>12.979999999999999</v>
      </c>
      <c r="L107" s="4">
        <f t="shared" si="23"/>
        <v>14.16</v>
      </c>
      <c r="M107" s="4">
        <f t="shared" si="23"/>
        <v>17.7</v>
      </c>
      <c r="N107" s="4">
        <f t="shared" si="23"/>
        <v>18.88</v>
      </c>
    </row>
    <row r="108" spans="1:14" x14ac:dyDescent="0.2">
      <c r="A108" s="18">
        <v>30</v>
      </c>
      <c r="B108" t="s">
        <v>43</v>
      </c>
      <c r="C108" s="29">
        <f>+C107*$A$108</f>
        <v>35.4</v>
      </c>
      <c r="D108" s="29">
        <f t="shared" ref="D108:N108" si="24">+D107*$A$108</f>
        <v>70.8</v>
      </c>
      <c r="E108" s="29">
        <f t="shared" si="24"/>
        <v>88.5</v>
      </c>
      <c r="F108" s="29">
        <f t="shared" si="24"/>
        <v>177</v>
      </c>
      <c r="G108" s="29">
        <f t="shared" si="24"/>
        <v>265.5</v>
      </c>
      <c r="H108" s="29">
        <f t="shared" si="24"/>
        <v>354</v>
      </c>
      <c r="I108" s="29">
        <f t="shared" si="24"/>
        <v>354</v>
      </c>
      <c r="J108" s="29">
        <f t="shared" si="24"/>
        <v>354</v>
      </c>
      <c r="K108" s="29">
        <f t="shared" si="24"/>
        <v>389.4</v>
      </c>
      <c r="L108" s="29">
        <f t="shared" si="24"/>
        <v>424.8</v>
      </c>
      <c r="M108" s="29">
        <f t="shared" si="24"/>
        <v>531</v>
      </c>
      <c r="N108" s="29">
        <f t="shared" si="24"/>
        <v>566.4</v>
      </c>
    </row>
    <row r="109" spans="1:14" x14ac:dyDescent="0.2">
      <c r="B109" s="31"/>
    </row>
    <row r="111" spans="1:14" x14ac:dyDescent="0.2">
      <c r="B111" t="s">
        <v>47</v>
      </c>
      <c r="C111" s="23">
        <f>+C108*$B$99</f>
        <v>3.54</v>
      </c>
      <c r="D111" s="23">
        <f t="shared" ref="D111:N111" si="25">+D108*$B$99</f>
        <v>7.08</v>
      </c>
      <c r="E111" s="23">
        <f t="shared" si="25"/>
        <v>8.85</v>
      </c>
      <c r="F111" s="23">
        <f t="shared" si="25"/>
        <v>17.7</v>
      </c>
      <c r="G111" s="23">
        <f t="shared" si="25"/>
        <v>26.55</v>
      </c>
      <c r="H111" s="23">
        <f t="shared" si="25"/>
        <v>35.4</v>
      </c>
      <c r="I111" s="23">
        <f t="shared" si="25"/>
        <v>35.4</v>
      </c>
      <c r="J111" s="23">
        <f t="shared" si="25"/>
        <v>35.4</v>
      </c>
      <c r="K111" s="23">
        <f t="shared" si="25"/>
        <v>38.94</v>
      </c>
      <c r="L111" s="23">
        <f t="shared" si="25"/>
        <v>42.480000000000004</v>
      </c>
      <c r="M111" s="23">
        <f t="shared" si="25"/>
        <v>53.1</v>
      </c>
      <c r="N111" s="23">
        <f t="shared" si="25"/>
        <v>56.64</v>
      </c>
    </row>
    <row r="112" spans="1:14" x14ac:dyDescent="0.2">
      <c r="B112" s="32">
        <v>0.1</v>
      </c>
    </row>
    <row r="115" spans="2:14" x14ac:dyDescent="0.2">
      <c r="C115">
        <v>42955.067999999999</v>
      </c>
    </row>
    <row r="116" spans="2:14" x14ac:dyDescent="0.2">
      <c r="C116">
        <v>4368.3119999999999</v>
      </c>
    </row>
    <row r="121" spans="2:14" ht="19" x14ac:dyDescent="0.2">
      <c r="B121" s="306" t="s">
        <v>41</v>
      </c>
      <c r="C121" s="306"/>
      <c r="D121" s="306"/>
    </row>
    <row r="122" spans="2:14" x14ac:dyDescent="0.2">
      <c r="B122" s="25" t="s">
        <v>35</v>
      </c>
      <c r="C122" s="4">
        <v>42955.067999999999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">
      <c r="B123" s="25" t="s">
        <v>36</v>
      </c>
      <c r="C123" s="4">
        <v>4368.3119999999999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">
      <c r="B124" s="26"/>
      <c r="C124" s="27">
        <f>+SUM(C122:C123)</f>
        <v>47323.38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8"/>
    </row>
    <row r="125" spans="2:14" x14ac:dyDescent="0.2">
      <c r="B125" s="16" t="s">
        <v>48</v>
      </c>
      <c r="C125" s="4">
        <f>+C124*1%</f>
        <v>473.23379999999997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">
      <c r="B126" t="s">
        <v>43</v>
      </c>
      <c r="C126" s="29">
        <f>+C125*$B$96</f>
        <v>148327.01194029851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x14ac:dyDescent="0.2">
      <c r="B127" s="31"/>
    </row>
    <row r="129" spans="2:14" x14ac:dyDescent="0.2">
      <c r="B129" t="s">
        <v>44</v>
      </c>
      <c r="C129" s="23">
        <f>+C126*$B$99</f>
        <v>14832.701194029853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2:14" x14ac:dyDescent="0.2">
      <c r="B130" s="32">
        <v>0.1</v>
      </c>
    </row>
  </sheetData>
  <mergeCells count="15">
    <mergeCell ref="B121:D121"/>
    <mergeCell ref="Q14:R14"/>
    <mergeCell ref="B31:C31"/>
    <mergeCell ref="N43:O43"/>
    <mergeCell ref="B76:D76"/>
    <mergeCell ref="B90:D90"/>
    <mergeCell ref="B103:D103"/>
    <mergeCell ref="P16:P17"/>
    <mergeCell ref="P91:R91"/>
    <mergeCell ref="A1:A2"/>
    <mergeCell ref="B1:B2"/>
    <mergeCell ref="C1:C2"/>
    <mergeCell ref="A6:A7"/>
    <mergeCell ref="B6:B7"/>
    <mergeCell ref="C6:C7"/>
  </mergeCells>
  <pageMargins left="0.7" right="0.7" top="0.75" bottom="0.75" header="0.3" footer="0.3"/>
  <ignoredErrors>
    <ignoredError sqref="P22 P36 P31 P28:P30 R24" formula="1"/>
    <ignoredError sqref="P23:P24 P33:P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2815-A56E-2845-B44D-4F1B5CA24D5B}">
  <dimension ref="B2:AB114"/>
  <sheetViews>
    <sheetView showGridLines="0" topLeftCell="A15" zoomScale="76" zoomScaleNormal="70" workbookViewId="0">
      <selection activeCell="L71" sqref="L71"/>
    </sheetView>
  </sheetViews>
  <sheetFormatPr baseColWidth="10" defaultRowHeight="16" x14ac:dyDescent="0.2"/>
  <cols>
    <col min="1" max="1" width="6.1640625" style="92" customWidth="1"/>
    <col min="2" max="2" width="3.1640625" style="92" customWidth="1"/>
    <col min="3" max="3" width="40.33203125" style="92" customWidth="1"/>
    <col min="4" max="4" width="14.5" style="92" customWidth="1"/>
    <col min="5" max="5" width="13.83203125" style="92" bestFit="1" customWidth="1"/>
    <col min="6" max="6" width="16" style="92" bestFit="1" customWidth="1"/>
    <col min="7" max="7" width="17.83203125" style="92" bestFit="1" customWidth="1"/>
    <col min="8" max="8" width="18.33203125" style="92" bestFit="1" customWidth="1"/>
    <col min="9" max="9" width="11.5" style="92" bestFit="1" customWidth="1"/>
    <col min="10" max="10" width="11.1640625" style="92" customWidth="1"/>
    <col min="11" max="11" width="11.33203125" style="92" customWidth="1"/>
    <col min="12" max="12" width="11" style="92" customWidth="1"/>
    <col min="13" max="13" width="11.5" style="92" customWidth="1"/>
    <col min="14" max="14" width="11" style="92" customWidth="1"/>
    <col min="15" max="15" width="11.1640625" style="92" customWidth="1"/>
    <col min="16" max="16" width="13.1640625" style="92" customWidth="1"/>
    <col min="17" max="17" width="12.83203125" style="92" customWidth="1"/>
    <col min="18" max="18" width="10.83203125" style="92"/>
    <col min="19" max="19" width="12.5" style="92" bestFit="1" customWidth="1"/>
    <col min="20" max="20" width="10.83203125" style="92"/>
    <col min="21" max="21" width="11.6640625" style="92" bestFit="1" customWidth="1"/>
    <col min="22" max="257" width="10.83203125" style="92"/>
    <col min="258" max="258" width="3.1640625" style="92" customWidth="1"/>
    <col min="259" max="259" width="40.33203125" style="92" customWidth="1"/>
    <col min="260" max="260" width="11.1640625" style="92" customWidth="1"/>
    <col min="261" max="261" width="9.83203125" style="92" customWidth="1"/>
    <col min="262" max="262" width="11.6640625" style="92" bestFit="1" customWidth="1"/>
    <col min="263" max="263" width="9.5" style="92" customWidth="1"/>
    <col min="264" max="264" width="9.1640625" style="92" customWidth="1"/>
    <col min="265" max="265" width="8.6640625" style="92" customWidth="1"/>
    <col min="266" max="266" width="9.1640625" style="92" customWidth="1"/>
    <col min="267" max="268" width="9.33203125" style="92" customWidth="1"/>
    <col min="269" max="271" width="8.83203125" style="92" bestFit="1" customWidth="1"/>
    <col min="272" max="272" width="12.33203125" style="92" bestFit="1" customWidth="1"/>
    <col min="273" max="273" width="12.83203125" style="92" customWidth="1"/>
    <col min="274" max="274" width="10.83203125" style="92"/>
    <col min="275" max="275" width="12.5" style="92" bestFit="1" customWidth="1"/>
    <col min="276" max="276" width="10.83203125" style="92"/>
    <col min="277" max="277" width="11.5" style="92" bestFit="1" customWidth="1"/>
    <col min="278" max="513" width="10.83203125" style="92"/>
    <col min="514" max="514" width="3.1640625" style="92" customWidth="1"/>
    <col min="515" max="515" width="40.33203125" style="92" customWidth="1"/>
    <col min="516" max="516" width="11.1640625" style="92" customWidth="1"/>
    <col min="517" max="517" width="9.83203125" style="92" customWidth="1"/>
    <col min="518" max="518" width="11.6640625" style="92" bestFit="1" customWidth="1"/>
    <col min="519" max="519" width="9.5" style="92" customWidth="1"/>
    <col min="520" max="520" width="9.1640625" style="92" customWidth="1"/>
    <col min="521" max="521" width="8.6640625" style="92" customWidth="1"/>
    <col min="522" max="522" width="9.1640625" style="92" customWidth="1"/>
    <col min="523" max="524" width="9.33203125" style="92" customWidth="1"/>
    <col min="525" max="527" width="8.83203125" style="92" bestFit="1" customWidth="1"/>
    <col min="528" max="528" width="12.33203125" style="92" bestFit="1" customWidth="1"/>
    <col min="529" max="529" width="12.83203125" style="92" customWidth="1"/>
    <col min="530" max="530" width="10.83203125" style="92"/>
    <col min="531" max="531" width="12.5" style="92" bestFit="1" customWidth="1"/>
    <col min="532" max="532" width="10.83203125" style="92"/>
    <col min="533" max="533" width="11.5" style="92" bestFit="1" customWidth="1"/>
    <col min="534" max="769" width="10.83203125" style="92"/>
    <col min="770" max="770" width="3.1640625" style="92" customWidth="1"/>
    <col min="771" max="771" width="40.33203125" style="92" customWidth="1"/>
    <col min="772" max="772" width="11.1640625" style="92" customWidth="1"/>
    <col min="773" max="773" width="9.83203125" style="92" customWidth="1"/>
    <col min="774" max="774" width="11.6640625" style="92" bestFit="1" customWidth="1"/>
    <col min="775" max="775" width="9.5" style="92" customWidth="1"/>
    <col min="776" max="776" width="9.1640625" style="92" customWidth="1"/>
    <col min="777" max="777" width="8.6640625" style="92" customWidth="1"/>
    <col min="778" max="778" width="9.1640625" style="92" customWidth="1"/>
    <col min="779" max="780" width="9.33203125" style="92" customWidth="1"/>
    <col min="781" max="783" width="8.83203125" style="92" bestFit="1" customWidth="1"/>
    <col min="784" max="784" width="12.33203125" style="92" bestFit="1" customWidth="1"/>
    <col min="785" max="785" width="12.83203125" style="92" customWidth="1"/>
    <col min="786" max="786" width="10.83203125" style="92"/>
    <col min="787" max="787" width="12.5" style="92" bestFit="1" customWidth="1"/>
    <col min="788" max="788" width="10.83203125" style="92"/>
    <col min="789" max="789" width="11.5" style="92" bestFit="1" customWidth="1"/>
    <col min="790" max="1025" width="10.83203125" style="92"/>
    <col min="1026" max="1026" width="3.1640625" style="92" customWidth="1"/>
    <col min="1027" max="1027" width="40.33203125" style="92" customWidth="1"/>
    <col min="1028" max="1028" width="11.1640625" style="92" customWidth="1"/>
    <col min="1029" max="1029" width="9.83203125" style="92" customWidth="1"/>
    <col min="1030" max="1030" width="11.6640625" style="92" bestFit="1" customWidth="1"/>
    <col min="1031" max="1031" width="9.5" style="92" customWidth="1"/>
    <col min="1032" max="1032" width="9.1640625" style="92" customWidth="1"/>
    <col min="1033" max="1033" width="8.6640625" style="92" customWidth="1"/>
    <col min="1034" max="1034" width="9.1640625" style="92" customWidth="1"/>
    <col min="1035" max="1036" width="9.33203125" style="92" customWidth="1"/>
    <col min="1037" max="1039" width="8.83203125" style="92" bestFit="1" customWidth="1"/>
    <col min="1040" max="1040" width="12.33203125" style="92" bestFit="1" customWidth="1"/>
    <col min="1041" max="1041" width="12.83203125" style="92" customWidth="1"/>
    <col min="1042" max="1042" width="10.83203125" style="92"/>
    <col min="1043" max="1043" width="12.5" style="92" bestFit="1" customWidth="1"/>
    <col min="1044" max="1044" width="10.83203125" style="92"/>
    <col min="1045" max="1045" width="11.5" style="92" bestFit="1" customWidth="1"/>
    <col min="1046" max="1281" width="10.83203125" style="92"/>
    <col min="1282" max="1282" width="3.1640625" style="92" customWidth="1"/>
    <col min="1283" max="1283" width="40.33203125" style="92" customWidth="1"/>
    <col min="1284" max="1284" width="11.1640625" style="92" customWidth="1"/>
    <col min="1285" max="1285" width="9.83203125" style="92" customWidth="1"/>
    <col min="1286" max="1286" width="11.6640625" style="92" bestFit="1" customWidth="1"/>
    <col min="1287" max="1287" width="9.5" style="92" customWidth="1"/>
    <col min="1288" max="1288" width="9.1640625" style="92" customWidth="1"/>
    <col min="1289" max="1289" width="8.6640625" style="92" customWidth="1"/>
    <col min="1290" max="1290" width="9.1640625" style="92" customWidth="1"/>
    <col min="1291" max="1292" width="9.33203125" style="92" customWidth="1"/>
    <col min="1293" max="1295" width="8.83203125" style="92" bestFit="1" customWidth="1"/>
    <col min="1296" max="1296" width="12.33203125" style="92" bestFit="1" customWidth="1"/>
    <col min="1297" max="1297" width="12.83203125" style="92" customWidth="1"/>
    <col min="1298" max="1298" width="10.83203125" style="92"/>
    <col min="1299" max="1299" width="12.5" style="92" bestFit="1" customWidth="1"/>
    <col min="1300" max="1300" width="10.83203125" style="92"/>
    <col min="1301" max="1301" width="11.5" style="92" bestFit="1" customWidth="1"/>
    <col min="1302" max="1537" width="10.83203125" style="92"/>
    <col min="1538" max="1538" width="3.1640625" style="92" customWidth="1"/>
    <col min="1539" max="1539" width="40.33203125" style="92" customWidth="1"/>
    <col min="1540" max="1540" width="11.1640625" style="92" customWidth="1"/>
    <col min="1541" max="1541" width="9.83203125" style="92" customWidth="1"/>
    <col min="1542" max="1542" width="11.6640625" style="92" bestFit="1" customWidth="1"/>
    <col min="1543" max="1543" width="9.5" style="92" customWidth="1"/>
    <col min="1544" max="1544" width="9.1640625" style="92" customWidth="1"/>
    <col min="1545" max="1545" width="8.6640625" style="92" customWidth="1"/>
    <col min="1546" max="1546" width="9.1640625" style="92" customWidth="1"/>
    <col min="1547" max="1548" width="9.33203125" style="92" customWidth="1"/>
    <col min="1549" max="1551" width="8.83203125" style="92" bestFit="1" customWidth="1"/>
    <col min="1552" max="1552" width="12.33203125" style="92" bestFit="1" customWidth="1"/>
    <col min="1553" max="1553" width="12.83203125" style="92" customWidth="1"/>
    <col min="1554" max="1554" width="10.83203125" style="92"/>
    <col min="1555" max="1555" width="12.5" style="92" bestFit="1" customWidth="1"/>
    <col min="1556" max="1556" width="10.83203125" style="92"/>
    <col min="1557" max="1557" width="11.5" style="92" bestFit="1" customWidth="1"/>
    <col min="1558" max="1793" width="10.83203125" style="92"/>
    <col min="1794" max="1794" width="3.1640625" style="92" customWidth="1"/>
    <col min="1795" max="1795" width="40.33203125" style="92" customWidth="1"/>
    <col min="1796" max="1796" width="11.1640625" style="92" customWidth="1"/>
    <col min="1797" max="1797" width="9.83203125" style="92" customWidth="1"/>
    <col min="1798" max="1798" width="11.6640625" style="92" bestFit="1" customWidth="1"/>
    <col min="1799" max="1799" width="9.5" style="92" customWidth="1"/>
    <col min="1800" max="1800" width="9.1640625" style="92" customWidth="1"/>
    <col min="1801" max="1801" width="8.6640625" style="92" customWidth="1"/>
    <col min="1802" max="1802" width="9.1640625" style="92" customWidth="1"/>
    <col min="1803" max="1804" width="9.33203125" style="92" customWidth="1"/>
    <col min="1805" max="1807" width="8.83203125" style="92" bestFit="1" customWidth="1"/>
    <col min="1808" max="1808" width="12.33203125" style="92" bestFit="1" customWidth="1"/>
    <col min="1809" max="1809" width="12.83203125" style="92" customWidth="1"/>
    <col min="1810" max="1810" width="10.83203125" style="92"/>
    <col min="1811" max="1811" width="12.5" style="92" bestFit="1" customWidth="1"/>
    <col min="1812" max="1812" width="10.83203125" style="92"/>
    <col min="1813" max="1813" width="11.5" style="92" bestFit="1" customWidth="1"/>
    <col min="1814" max="2049" width="10.83203125" style="92"/>
    <col min="2050" max="2050" width="3.1640625" style="92" customWidth="1"/>
    <col min="2051" max="2051" width="40.33203125" style="92" customWidth="1"/>
    <col min="2052" max="2052" width="11.1640625" style="92" customWidth="1"/>
    <col min="2053" max="2053" width="9.83203125" style="92" customWidth="1"/>
    <col min="2054" max="2054" width="11.6640625" style="92" bestFit="1" customWidth="1"/>
    <col min="2055" max="2055" width="9.5" style="92" customWidth="1"/>
    <col min="2056" max="2056" width="9.1640625" style="92" customWidth="1"/>
    <col min="2057" max="2057" width="8.6640625" style="92" customWidth="1"/>
    <col min="2058" max="2058" width="9.1640625" style="92" customWidth="1"/>
    <col min="2059" max="2060" width="9.33203125" style="92" customWidth="1"/>
    <col min="2061" max="2063" width="8.83203125" style="92" bestFit="1" customWidth="1"/>
    <col min="2064" max="2064" width="12.33203125" style="92" bestFit="1" customWidth="1"/>
    <col min="2065" max="2065" width="12.83203125" style="92" customWidth="1"/>
    <col min="2066" max="2066" width="10.83203125" style="92"/>
    <col min="2067" max="2067" width="12.5" style="92" bestFit="1" customWidth="1"/>
    <col min="2068" max="2068" width="10.83203125" style="92"/>
    <col min="2069" max="2069" width="11.5" style="92" bestFit="1" customWidth="1"/>
    <col min="2070" max="2305" width="10.83203125" style="92"/>
    <col min="2306" max="2306" width="3.1640625" style="92" customWidth="1"/>
    <col min="2307" max="2307" width="40.33203125" style="92" customWidth="1"/>
    <col min="2308" max="2308" width="11.1640625" style="92" customWidth="1"/>
    <col min="2309" max="2309" width="9.83203125" style="92" customWidth="1"/>
    <col min="2310" max="2310" width="11.6640625" style="92" bestFit="1" customWidth="1"/>
    <col min="2311" max="2311" width="9.5" style="92" customWidth="1"/>
    <col min="2312" max="2312" width="9.1640625" style="92" customWidth="1"/>
    <col min="2313" max="2313" width="8.6640625" style="92" customWidth="1"/>
    <col min="2314" max="2314" width="9.1640625" style="92" customWidth="1"/>
    <col min="2315" max="2316" width="9.33203125" style="92" customWidth="1"/>
    <col min="2317" max="2319" width="8.83203125" style="92" bestFit="1" customWidth="1"/>
    <col min="2320" max="2320" width="12.33203125" style="92" bestFit="1" customWidth="1"/>
    <col min="2321" max="2321" width="12.83203125" style="92" customWidth="1"/>
    <col min="2322" max="2322" width="10.83203125" style="92"/>
    <col min="2323" max="2323" width="12.5" style="92" bestFit="1" customWidth="1"/>
    <col min="2324" max="2324" width="10.83203125" style="92"/>
    <col min="2325" max="2325" width="11.5" style="92" bestFit="1" customWidth="1"/>
    <col min="2326" max="2561" width="10.83203125" style="92"/>
    <col min="2562" max="2562" width="3.1640625" style="92" customWidth="1"/>
    <col min="2563" max="2563" width="40.33203125" style="92" customWidth="1"/>
    <col min="2564" max="2564" width="11.1640625" style="92" customWidth="1"/>
    <col min="2565" max="2565" width="9.83203125" style="92" customWidth="1"/>
    <col min="2566" max="2566" width="11.6640625" style="92" bestFit="1" customWidth="1"/>
    <col min="2567" max="2567" width="9.5" style="92" customWidth="1"/>
    <col min="2568" max="2568" width="9.1640625" style="92" customWidth="1"/>
    <col min="2569" max="2569" width="8.6640625" style="92" customWidth="1"/>
    <col min="2570" max="2570" width="9.1640625" style="92" customWidth="1"/>
    <col min="2571" max="2572" width="9.33203125" style="92" customWidth="1"/>
    <col min="2573" max="2575" width="8.83203125" style="92" bestFit="1" customWidth="1"/>
    <col min="2576" max="2576" width="12.33203125" style="92" bestFit="1" customWidth="1"/>
    <col min="2577" max="2577" width="12.83203125" style="92" customWidth="1"/>
    <col min="2578" max="2578" width="10.83203125" style="92"/>
    <col min="2579" max="2579" width="12.5" style="92" bestFit="1" customWidth="1"/>
    <col min="2580" max="2580" width="10.83203125" style="92"/>
    <col min="2581" max="2581" width="11.5" style="92" bestFit="1" customWidth="1"/>
    <col min="2582" max="2817" width="10.83203125" style="92"/>
    <col min="2818" max="2818" width="3.1640625" style="92" customWidth="1"/>
    <col min="2819" max="2819" width="40.33203125" style="92" customWidth="1"/>
    <col min="2820" max="2820" width="11.1640625" style="92" customWidth="1"/>
    <col min="2821" max="2821" width="9.83203125" style="92" customWidth="1"/>
    <col min="2822" max="2822" width="11.6640625" style="92" bestFit="1" customWidth="1"/>
    <col min="2823" max="2823" width="9.5" style="92" customWidth="1"/>
    <col min="2824" max="2824" width="9.1640625" style="92" customWidth="1"/>
    <col min="2825" max="2825" width="8.6640625" style="92" customWidth="1"/>
    <col min="2826" max="2826" width="9.1640625" style="92" customWidth="1"/>
    <col min="2827" max="2828" width="9.33203125" style="92" customWidth="1"/>
    <col min="2829" max="2831" width="8.83203125" style="92" bestFit="1" customWidth="1"/>
    <col min="2832" max="2832" width="12.33203125" style="92" bestFit="1" customWidth="1"/>
    <col min="2833" max="2833" width="12.83203125" style="92" customWidth="1"/>
    <col min="2834" max="2834" width="10.83203125" style="92"/>
    <col min="2835" max="2835" width="12.5" style="92" bestFit="1" customWidth="1"/>
    <col min="2836" max="2836" width="10.83203125" style="92"/>
    <col min="2837" max="2837" width="11.5" style="92" bestFit="1" customWidth="1"/>
    <col min="2838" max="3073" width="10.83203125" style="92"/>
    <col min="3074" max="3074" width="3.1640625" style="92" customWidth="1"/>
    <col min="3075" max="3075" width="40.33203125" style="92" customWidth="1"/>
    <col min="3076" max="3076" width="11.1640625" style="92" customWidth="1"/>
    <col min="3077" max="3077" width="9.83203125" style="92" customWidth="1"/>
    <col min="3078" max="3078" width="11.6640625" style="92" bestFit="1" customWidth="1"/>
    <col min="3079" max="3079" width="9.5" style="92" customWidth="1"/>
    <col min="3080" max="3080" width="9.1640625" style="92" customWidth="1"/>
    <col min="3081" max="3081" width="8.6640625" style="92" customWidth="1"/>
    <col min="3082" max="3082" width="9.1640625" style="92" customWidth="1"/>
    <col min="3083" max="3084" width="9.33203125" style="92" customWidth="1"/>
    <col min="3085" max="3087" width="8.83203125" style="92" bestFit="1" customWidth="1"/>
    <col min="3088" max="3088" width="12.33203125" style="92" bestFit="1" customWidth="1"/>
    <col min="3089" max="3089" width="12.83203125" style="92" customWidth="1"/>
    <col min="3090" max="3090" width="10.83203125" style="92"/>
    <col min="3091" max="3091" width="12.5" style="92" bestFit="1" customWidth="1"/>
    <col min="3092" max="3092" width="10.83203125" style="92"/>
    <col min="3093" max="3093" width="11.5" style="92" bestFit="1" customWidth="1"/>
    <col min="3094" max="3329" width="10.83203125" style="92"/>
    <col min="3330" max="3330" width="3.1640625" style="92" customWidth="1"/>
    <col min="3331" max="3331" width="40.33203125" style="92" customWidth="1"/>
    <col min="3332" max="3332" width="11.1640625" style="92" customWidth="1"/>
    <col min="3333" max="3333" width="9.83203125" style="92" customWidth="1"/>
    <col min="3334" max="3334" width="11.6640625" style="92" bestFit="1" customWidth="1"/>
    <col min="3335" max="3335" width="9.5" style="92" customWidth="1"/>
    <col min="3336" max="3336" width="9.1640625" style="92" customWidth="1"/>
    <col min="3337" max="3337" width="8.6640625" style="92" customWidth="1"/>
    <col min="3338" max="3338" width="9.1640625" style="92" customWidth="1"/>
    <col min="3339" max="3340" width="9.33203125" style="92" customWidth="1"/>
    <col min="3341" max="3343" width="8.83203125" style="92" bestFit="1" customWidth="1"/>
    <col min="3344" max="3344" width="12.33203125" style="92" bestFit="1" customWidth="1"/>
    <col min="3345" max="3345" width="12.83203125" style="92" customWidth="1"/>
    <col min="3346" max="3346" width="10.83203125" style="92"/>
    <col min="3347" max="3347" width="12.5" style="92" bestFit="1" customWidth="1"/>
    <col min="3348" max="3348" width="10.83203125" style="92"/>
    <col min="3349" max="3349" width="11.5" style="92" bestFit="1" customWidth="1"/>
    <col min="3350" max="3585" width="10.83203125" style="92"/>
    <col min="3586" max="3586" width="3.1640625" style="92" customWidth="1"/>
    <col min="3587" max="3587" width="40.33203125" style="92" customWidth="1"/>
    <col min="3588" max="3588" width="11.1640625" style="92" customWidth="1"/>
    <col min="3589" max="3589" width="9.83203125" style="92" customWidth="1"/>
    <col min="3590" max="3590" width="11.6640625" style="92" bestFit="1" customWidth="1"/>
    <col min="3591" max="3591" width="9.5" style="92" customWidth="1"/>
    <col min="3592" max="3592" width="9.1640625" style="92" customWidth="1"/>
    <col min="3593" max="3593" width="8.6640625" style="92" customWidth="1"/>
    <col min="3594" max="3594" width="9.1640625" style="92" customWidth="1"/>
    <col min="3595" max="3596" width="9.33203125" style="92" customWidth="1"/>
    <col min="3597" max="3599" width="8.83203125" style="92" bestFit="1" customWidth="1"/>
    <col min="3600" max="3600" width="12.33203125" style="92" bestFit="1" customWidth="1"/>
    <col min="3601" max="3601" width="12.83203125" style="92" customWidth="1"/>
    <col min="3602" max="3602" width="10.83203125" style="92"/>
    <col min="3603" max="3603" width="12.5" style="92" bestFit="1" customWidth="1"/>
    <col min="3604" max="3604" width="10.83203125" style="92"/>
    <col min="3605" max="3605" width="11.5" style="92" bestFit="1" customWidth="1"/>
    <col min="3606" max="3841" width="10.83203125" style="92"/>
    <col min="3842" max="3842" width="3.1640625" style="92" customWidth="1"/>
    <col min="3843" max="3843" width="40.33203125" style="92" customWidth="1"/>
    <col min="3844" max="3844" width="11.1640625" style="92" customWidth="1"/>
    <col min="3845" max="3845" width="9.83203125" style="92" customWidth="1"/>
    <col min="3846" max="3846" width="11.6640625" style="92" bestFit="1" customWidth="1"/>
    <col min="3847" max="3847" width="9.5" style="92" customWidth="1"/>
    <col min="3848" max="3848" width="9.1640625" style="92" customWidth="1"/>
    <col min="3849" max="3849" width="8.6640625" style="92" customWidth="1"/>
    <col min="3850" max="3850" width="9.1640625" style="92" customWidth="1"/>
    <col min="3851" max="3852" width="9.33203125" style="92" customWidth="1"/>
    <col min="3853" max="3855" width="8.83203125" style="92" bestFit="1" customWidth="1"/>
    <col min="3856" max="3856" width="12.33203125" style="92" bestFit="1" customWidth="1"/>
    <col min="3857" max="3857" width="12.83203125" style="92" customWidth="1"/>
    <col min="3858" max="3858" width="10.83203125" style="92"/>
    <col min="3859" max="3859" width="12.5" style="92" bestFit="1" customWidth="1"/>
    <col min="3860" max="3860" width="10.83203125" style="92"/>
    <col min="3861" max="3861" width="11.5" style="92" bestFit="1" customWidth="1"/>
    <col min="3862" max="4097" width="10.83203125" style="92"/>
    <col min="4098" max="4098" width="3.1640625" style="92" customWidth="1"/>
    <col min="4099" max="4099" width="40.33203125" style="92" customWidth="1"/>
    <col min="4100" max="4100" width="11.1640625" style="92" customWidth="1"/>
    <col min="4101" max="4101" width="9.83203125" style="92" customWidth="1"/>
    <col min="4102" max="4102" width="11.6640625" style="92" bestFit="1" customWidth="1"/>
    <col min="4103" max="4103" width="9.5" style="92" customWidth="1"/>
    <col min="4104" max="4104" width="9.1640625" style="92" customWidth="1"/>
    <col min="4105" max="4105" width="8.6640625" style="92" customWidth="1"/>
    <col min="4106" max="4106" width="9.1640625" style="92" customWidth="1"/>
    <col min="4107" max="4108" width="9.33203125" style="92" customWidth="1"/>
    <col min="4109" max="4111" width="8.83203125" style="92" bestFit="1" customWidth="1"/>
    <col min="4112" max="4112" width="12.33203125" style="92" bestFit="1" customWidth="1"/>
    <col min="4113" max="4113" width="12.83203125" style="92" customWidth="1"/>
    <col min="4114" max="4114" width="10.83203125" style="92"/>
    <col min="4115" max="4115" width="12.5" style="92" bestFit="1" customWidth="1"/>
    <col min="4116" max="4116" width="10.83203125" style="92"/>
    <col min="4117" max="4117" width="11.5" style="92" bestFit="1" customWidth="1"/>
    <col min="4118" max="4353" width="10.83203125" style="92"/>
    <col min="4354" max="4354" width="3.1640625" style="92" customWidth="1"/>
    <col min="4355" max="4355" width="40.33203125" style="92" customWidth="1"/>
    <col min="4356" max="4356" width="11.1640625" style="92" customWidth="1"/>
    <col min="4357" max="4357" width="9.83203125" style="92" customWidth="1"/>
    <col min="4358" max="4358" width="11.6640625" style="92" bestFit="1" customWidth="1"/>
    <col min="4359" max="4359" width="9.5" style="92" customWidth="1"/>
    <col min="4360" max="4360" width="9.1640625" style="92" customWidth="1"/>
    <col min="4361" max="4361" width="8.6640625" style="92" customWidth="1"/>
    <col min="4362" max="4362" width="9.1640625" style="92" customWidth="1"/>
    <col min="4363" max="4364" width="9.33203125" style="92" customWidth="1"/>
    <col min="4365" max="4367" width="8.83203125" style="92" bestFit="1" customWidth="1"/>
    <col min="4368" max="4368" width="12.33203125" style="92" bestFit="1" customWidth="1"/>
    <col min="4369" max="4369" width="12.83203125" style="92" customWidth="1"/>
    <col min="4370" max="4370" width="10.83203125" style="92"/>
    <col min="4371" max="4371" width="12.5" style="92" bestFit="1" customWidth="1"/>
    <col min="4372" max="4372" width="10.83203125" style="92"/>
    <col min="4373" max="4373" width="11.5" style="92" bestFit="1" customWidth="1"/>
    <col min="4374" max="4609" width="10.83203125" style="92"/>
    <col min="4610" max="4610" width="3.1640625" style="92" customWidth="1"/>
    <col min="4611" max="4611" width="40.33203125" style="92" customWidth="1"/>
    <col min="4612" max="4612" width="11.1640625" style="92" customWidth="1"/>
    <col min="4613" max="4613" width="9.83203125" style="92" customWidth="1"/>
    <col min="4614" max="4614" width="11.6640625" style="92" bestFit="1" customWidth="1"/>
    <col min="4615" max="4615" width="9.5" style="92" customWidth="1"/>
    <col min="4616" max="4616" width="9.1640625" style="92" customWidth="1"/>
    <col min="4617" max="4617" width="8.6640625" style="92" customWidth="1"/>
    <col min="4618" max="4618" width="9.1640625" style="92" customWidth="1"/>
    <col min="4619" max="4620" width="9.33203125" style="92" customWidth="1"/>
    <col min="4621" max="4623" width="8.83203125" style="92" bestFit="1" customWidth="1"/>
    <col min="4624" max="4624" width="12.33203125" style="92" bestFit="1" customWidth="1"/>
    <col min="4625" max="4625" width="12.83203125" style="92" customWidth="1"/>
    <col min="4626" max="4626" width="10.83203125" style="92"/>
    <col min="4627" max="4627" width="12.5" style="92" bestFit="1" customWidth="1"/>
    <col min="4628" max="4628" width="10.83203125" style="92"/>
    <col min="4629" max="4629" width="11.5" style="92" bestFit="1" customWidth="1"/>
    <col min="4630" max="4865" width="10.83203125" style="92"/>
    <col min="4866" max="4866" width="3.1640625" style="92" customWidth="1"/>
    <col min="4867" max="4867" width="40.33203125" style="92" customWidth="1"/>
    <col min="4868" max="4868" width="11.1640625" style="92" customWidth="1"/>
    <col min="4869" max="4869" width="9.83203125" style="92" customWidth="1"/>
    <col min="4870" max="4870" width="11.6640625" style="92" bestFit="1" customWidth="1"/>
    <col min="4871" max="4871" width="9.5" style="92" customWidth="1"/>
    <col min="4872" max="4872" width="9.1640625" style="92" customWidth="1"/>
    <col min="4873" max="4873" width="8.6640625" style="92" customWidth="1"/>
    <col min="4874" max="4874" width="9.1640625" style="92" customWidth="1"/>
    <col min="4875" max="4876" width="9.33203125" style="92" customWidth="1"/>
    <col min="4877" max="4879" width="8.83203125" style="92" bestFit="1" customWidth="1"/>
    <col min="4880" max="4880" width="12.33203125" style="92" bestFit="1" customWidth="1"/>
    <col min="4881" max="4881" width="12.83203125" style="92" customWidth="1"/>
    <col min="4882" max="4882" width="10.83203125" style="92"/>
    <col min="4883" max="4883" width="12.5" style="92" bestFit="1" customWidth="1"/>
    <col min="4884" max="4884" width="10.83203125" style="92"/>
    <col min="4885" max="4885" width="11.5" style="92" bestFit="1" customWidth="1"/>
    <col min="4886" max="5121" width="10.83203125" style="92"/>
    <col min="5122" max="5122" width="3.1640625" style="92" customWidth="1"/>
    <col min="5123" max="5123" width="40.33203125" style="92" customWidth="1"/>
    <col min="5124" max="5124" width="11.1640625" style="92" customWidth="1"/>
    <col min="5125" max="5125" width="9.83203125" style="92" customWidth="1"/>
    <col min="5126" max="5126" width="11.6640625" style="92" bestFit="1" customWidth="1"/>
    <col min="5127" max="5127" width="9.5" style="92" customWidth="1"/>
    <col min="5128" max="5128" width="9.1640625" style="92" customWidth="1"/>
    <col min="5129" max="5129" width="8.6640625" style="92" customWidth="1"/>
    <col min="5130" max="5130" width="9.1640625" style="92" customWidth="1"/>
    <col min="5131" max="5132" width="9.33203125" style="92" customWidth="1"/>
    <col min="5133" max="5135" width="8.83203125" style="92" bestFit="1" customWidth="1"/>
    <col min="5136" max="5136" width="12.33203125" style="92" bestFit="1" customWidth="1"/>
    <col min="5137" max="5137" width="12.83203125" style="92" customWidth="1"/>
    <col min="5138" max="5138" width="10.83203125" style="92"/>
    <col min="5139" max="5139" width="12.5" style="92" bestFit="1" customWidth="1"/>
    <col min="5140" max="5140" width="10.83203125" style="92"/>
    <col min="5141" max="5141" width="11.5" style="92" bestFit="1" customWidth="1"/>
    <col min="5142" max="5377" width="10.83203125" style="92"/>
    <col min="5378" max="5378" width="3.1640625" style="92" customWidth="1"/>
    <col min="5379" max="5379" width="40.33203125" style="92" customWidth="1"/>
    <col min="5380" max="5380" width="11.1640625" style="92" customWidth="1"/>
    <col min="5381" max="5381" width="9.83203125" style="92" customWidth="1"/>
    <col min="5382" max="5382" width="11.6640625" style="92" bestFit="1" customWidth="1"/>
    <col min="5383" max="5383" width="9.5" style="92" customWidth="1"/>
    <col min="5384" max="5384" width="9.1640625" style="92" customWidth="1"/>
    <col min="5385" max="5385" width="8.6640625" style="92" customWidth="1"/>
    <col min="5386" max="5386" width="9.1640625" style="92" customWidth="1"/>
    <col min="5387" max="5388" width="9.33203125" style="92" customWidth="1"/>
    <col min="5389" max="5391" width="8.83203125" style="92" bestFit="1" customWidth="1"/>
    <col min="5392" max="5392" width="12.33203125" style="92" bestFit="1" customWidth="1"/>
    <col min="5393" max="5393" width="12.83203125" style="92" customWidth="1"/>
    <col min="5394" max="5394" width="10.83203125" style="92"/>
    <col min="5395" max="5395" width="12.5" style="92" bestFit="1" customWidth="1"/>
    <col min="5396" max="5396" width="10.83203125" style="92"/>
    <col min="5397" max="5397" width="11.5" style="92" bestFit="1" customWidth="1"/>
    <col min="5398" max="5633" width="10.83203125" style="92"/>
    <col min="5634" max="5634" width="3.1640625" style="92" customWidth="1"/>
    <col min="5635" max="5635" width="40.33203125" style="92" customWidth="1"/>
    <col min="5636" max="5636" width="11.1640625" style="92" customWidth="1"/>
    <col min="5637" max="5637" width="9.83203125" style="92" customWidth="1"/>
    <col min="5638" max="5638" width="11.6640625" style="92" bestFit="1" customWidth="1"/>
    <col min="5639" max="5639" width="9.5" style="92" customWidth="1"/>
    <col min="5640" max="5640" width="9.1640625" style="92" customWidth="1"/>
    <col min="5641" max="5641" width="8.6640625" style="92" customWidth="1"/>
    <col min="5642" max="5642" width="9.1640625" style="92" customWidth="1"/>
    <col min="5643" max="5644" width="9.33203125" style="92" customWidth="1"/>
    <col min="5645" max="5647" width="8.83203125" style="92" bestFit="1" customWidth="1"/>
    <col min="5648" max="5648" width="12.33203125" style="92" bestFit="1" customWidth="1"/>
    <col min="5649" max="5649" width="12.83203125" style="92" customWidth="1"/>
    <col min="5650" max="5650" width="10.83203125" style="92"/>
    <col min="5651" max="5651" width="12.5" style="92" bestFit="1" customWidth="1"/>
    <col min="5652" max="5652" width="10.83203125" style="92"/>
    <col min="5653" max="5653" width="11.5" style="92" bestFit="1" customWidth="1"/>
    <col min="5654" max="5889" width="10.83203125" style="92"/>
    <col min="5890" max="5890" width="3.1640625" style="92" customWidth="1"/>
    <col min="5891" max="5891" width="40.33203125" style="92" customWidth="1"/>
    <col min="5892" max="5892" width="11.1640625" style="92" customWidth="1"/>
    <col min="5893" max="5893" width="9.83203125" style="92" customWidth="1"/>
    <col min="5894" max="5894" width="11.6640625" style="92" bestFit="1" customWidth="1"/>
    <col min="5895" max="5895" width="9.5" style="92" customWidth="1"/>
    <col min="5896" max="5896" width="9.1640625" style="92" customWidth="1"/>
    <col min="5897" max="5897" width="8.6640625" style="92" customWidth="1"/>
    <col min="5898" max="5898" width="9.1640625" style="92" customWidth="1"/>
    <col min="5899" max="5900" width="9.33203125" style="92" customWidth="1"/>
    <col min="5901" max="5903" width="8.83203125" style="92" bestFit="1" customWidth="1"/>
    <col min="5904" max="5904" width="12.33203125" style="92" bestFit="1" customWidth="1"/>
    <col min="5905" max="5905" width="12.83203125" style="92" customWidth="1"/>
    <col min="5906" max="5906" width="10.83203125" style="92"/>
    <col min="5907" max="5907" width="12.5" style="92" bestFit="1" customWidth="1"/>
    <col min="5908" max="5908" width="10.83203125" style="92"/>
    <col min="5909" max="5909" width="11.5" style="92" bestFit="1" customWidth="1"/>
    <col min="5910" max="6145" width="10.83203125" style="92"/>
    <col min="6146" max="6146" width="3.1640625" style="92" customWidth="1"/>
    <col min="6147" max="6147" width="40.33203125" style="92" customWidth="1"/>
    <col min="6148" max="6148" width="11.1640625" style="92" customWidth="1"/>
    <col min="6149" max="6149" width="9.83203125" style="92" customWidth="1"/>
    <col min="6150" max="6150" width="11.6640625" style="92" bestFit="1" customWidth="1"/>
    <col min="6151" max="6151" width="9.5" style="92" customWidth="1"/>
    <col min="6152" max="6152" width="9.1640625" style="92" customWidth="1"/>
    <col min="6153" max="6153" width="8.6640625" style="92" customWidth="1"/>
    <col min="6154" max="6154" width="9.1640625" style="92" customWidth="1"/>
    <col min="6155" max="6156" width="9.33203125" style="92" customWidth="1"/>
    <col min="6157" max="6159" width="8.83203125" style="92" bestFit="1" customWidth="1"/>
    <col min="6160" max="6160" width="12.33203125" style="92" bestFit="1" customWidth="1"/>
    <col min="6161" max="6161" width="12.83203125" style="92" customWidth="1"/>
    <col min="6162" max="6162" width="10.83203125" style="92"/>
    <col min="6163" max="6163" width="12.5" style="92" bestFit="1" customWidth="1"/>
    <col min="6164" max="6164" width="10.83203125" style="92"/>
    <col min="6165" max="6165" width="11.5" style="92" bestFit="1" customWidth="1"/>
    <col min="6166" max="6401" width="10.83203125" style="92"/>
    <col min="6402" max="6402" width="3.1640625" style="92" customWidth="1"/>
    <col min="6403" max="6403" width="40.33203125" style="92" customWidth="1"/>
    <col min="6404" max="6404" width="11.1640625" style="92" customWidth="1"/>
    <col min="6405" max="6405" width="9.83203125" style="92" customWidth="1"/>
    <col min="6406" max="6406" width="11.6640625" style="92" bestFit="1" customWidth="1"/>
    <col min="6407" max="6407" width="9.5" style="92" customWidth="1"/>
    <col min="6408" max="6408" width="9.1640625" style="92" customWidth="1"/>
    <col min="6409" max="6409" width="8.6640625" style="92" customWidth="1"/>
    <col min="6410" max="6410" width="9.1640625" style="92" customWidth="1"/>
    <col min="6411" max="6412" width="9.33203125" style="92" customWidth="1"/>
    <col min="6413" max="6415" width="8.83203125" style="92" bestFit="1" customWidth="1"/>
    <col min="6416" max="6416" width="12.33203125" style="92" bestFit="1" customWidth="1"/>
    <col min="6417" max="6417" width="12.83203125" style="92" customWidth="1"/>
    <col min="6418" max="6418" width="10.83203125" style="92"/>
    <col min="6419" max="6419" width="12.5" style="92" bestFit="1" customWidth="1"/>
    <col min="6420" max="6420" width="10.83203125" style="92"/>
    <col min="6421" max="6421" width="11.5" style="92" bestFit="1" customWidth="1"/>
    <col min="6422" max="6657" width="10.83203125" style="92"/>
    <col min="6658" max="6658" width="3.1640625" style="92" customWidth="1"/>
    <col min="6659" max="6659" width="40.33203125" style="92" customWidth="1"/>
    <col min="6660" max="6660" width="11.1640625" style="92" customWidth="1"/>
    <col min="6661" max="6661" width="9.83203125" style="92" customWidth="1"/>
    <col min="6662" max="6662" width="11.6640625" style="92" bestFit="1" customWidth="1"/>
    <col min="6663" max="6663" width="9.5" style="92" customWidth="1"/>
    <col min="6664" max="6664" width="9.1640625" style="92" customWidth="1"/>
    <col min="6665" max="6665" width="8.6640625" style="92" customWidth="1"/>
    <col min="6666" max="6666" width="9.1640625" style="92" customWidth="1"/>
    <col min="6667" max="6668" width="9.33203125" style="92" customWidth="1"/>
    <col min="6669" max="6671" width="8.83203125" style="92" bestFit="1" customWidth="1"/>
    <col min="6672" max="6672" width="12.33203125" style="92" bestFit="1" customWidth="1"/>
    <col min="6673" max="6673" width="12.83203125" style="92" customWidth="1"/>
    <col min="6674" max="6674" width="10.83203125" style="92"/>
    <col min="6675" max="6675" width="12.5" style="92" bestFit="1" customWidth="1"/>
    <col min="6676" max="6676" width="10.83203125" style="92"/>
    <col min="6677" max="6677" width="11.5" style="92" bestFit="1" customWidth="1"/>
    <col min="6678" max="6913" width="10.83203125" style="92"/>
    <col min="6914" max="6914" width="3.1640625" style="92" customWidth="1"/>
    <col min="6915" max="6915" width="40.33203125" style="92" customWidth="1"/>
    <col min="6916" max="6916" width="11.1640625" style="92" customWidth="1"/>
    <col min="6917" max="6917" width="9.83203125" style="92" customWidth="1"/>
    <col min="6918" max="6918" width="11.6640625" style="92" bestFit="1" customWidth="1"/>
    <col min="6919" max="6919" width="9.5" style="92" customWidth="1"/>
    <col min="6920" max="6920" width="9.1640625" style="92" customWidth="1"/>
    <col min="6921" max="6921" width="8.6640625" style="92" customWidth="1"/>
    <col min="6922" max="6922" width="9.1640625" style="92" customWidth="1"/>
    <col min="6923" max="6924" width="9.33203125" style="92" customWidth="1"/>
    <col min="6925" max="6927" width="8.83203125" style="92" bestFit="1" customWidth="1"/>
    <col min="6928" max="6928" width="12.33203125" style="92" bestFit="1" customWidth="1"/>
    <col min="6929" max="6929" width="12.83203125" style="92" customWidth="1"/>
    <col min="6930" max="6930" width="10.83203125" style="92"/>
    <col min="6931" max="6931" width="12.5" style="92" bestFit="1" customWidth="1"/>
    <col min="6932" max="6932" width="10.83203125" style="92"/>
    <col min="6933" max="6933" width="11.5" style="92" bestFit="1" customWidth="1"/>
    <col min="6934" max="7169" width="10.83203125" style="92"/>
    <col min="7170" max="7170" width="3.1640625" style="92" customWidth="1"/>
    <col min="7171" max="7171" width="40.33203125" style="92" customWidth="1"/>
    <col min="7172" max="7172" width="11.1640625" style="92" customWidth="1"/>
    <col min="7173" max="7173" width="9.83203125" style="92" customWidth="1"/>
    <col min="7174" max="7174" width="11.6640625" style="92" bestFit="1" customWidth="1"/>
    <col min="7175" max="7175" width="9.5" style="92" customWidth="1"/>
    <col min="7176" max="7176" width="9.1640625" style="92" customWidth="1"/>
    <col min="7177" max="7177" width="8.6640625" style="92" customWidth="1"/>
    <col min="7178" max="7178" width="9.1640625" style="92" customWidth="1"/>
    <col min="7179" max="7180" width="9.33203125" style="92" customWidth="1"/>
    <col min="7181" max="7183" width="8.83203125" style="92" bestFit="1" customWidth="1"/>
    <col min="7184" max="7184" width="12.33203125" style="92" bestFit="1" customWidth="1"/>
    <col min="7185" max="7185" width="12.83203125" style="92" customWidth="1"/>
    <col min="7186" max="7186" width="10.83203125" style="92"/>
    <col min="7187" max="7187" width="12.5" style="92" bestFit="1" customWidth="1"/>
    <col min="7188" max="7188" width="10.83203125" style="92"/>
    <col min="7189" max="7189" width="11.5" style="92" bestFit="1" customWidth="1"/>
    <col min="7190" max="7425" width="10.83203125" style="92"/>
    <col min="7426" max="7426" width="3.1640625" style="92" customWidth="1"/>
    <col min="7427" max="7427" width="40.33203125" style="92" customWidth="1"/>
    <col min="7428" max="7428" width="11.1640625" style="92" customWidth="1"/>
    <col min="7429" max="7429" width="9.83203125" style="92" customWidth="1"/>
    <col min="7430" max="7430" width="11.6640625" style="92" bestFit="1" customWidth="1"/>
    <col min="7431" max="7431" width="9.5" style="92" customWidth="1"/>
    <col min="7432" max="7432" width="9.1640625" style="92" customWidth="1"/>
    <col min="7433" max="7433" width="8.6640625" style="92" customWidth="1"/>
    <col min="7434" max="7434" width="9.1640625" style="92" customWidth="1"/>
    <col min="7435" max="7436" width="9.33203125" style="92" customWidth="1"/>
    <col min="7437" max="7439" width="8.83203125" style="92" bestFit="1" customWidth="1"/>
    <col min="7440" max="7440" width="12.33203125" style="92" bestFit="1" customWidth="1"/>
    <col min="7441" max="7441" width="12.83203125" style="92" customWidth="1"/>
    <col min="7442" max="7442" width="10.83203125" style="92"/>
    <col min="7443" max="7443" width="12.5" style="92" bestFit="1" customWidth="1"/>
    <col min="7444" max="7444" width="10.83203125" style="92"/>
    <col min="7445" max="7445" width="11.5" style="92" bestFit="1" customWidth="1"/>
    <col min="7446" max="7681" width="10.83203125" style="92"/>
    <col min="7682" max="7682" width="3.1640625" style="92" customWidth="1"/>
    <col min="7683" max="7683" width="40.33203125" style="92" customWidth="1"/>
    <col min="7684" max="7684" width="11.1640625" style="92" customWidth="1"/>
    <col min="7685" max="7685" width="9.83203125" style="92" customWidth="1"/>
    <col min="7686" max="7686" width="11.6640625" style="92" bestFit="1" customWidth="1"/>
    <col min="7687" max="7687" width="9.5" style="92" customWidth="1"/>
    <col min="7688" max="7688" width="9.1640625" style="92" customWidth="1"/>
    <col min="7689" max="7689" width="8.6640625" style="92" customWidth="1"/>
    <col min="7690" max="7690" width="9.1640625" style="92" customWidth="1"/>
    <col min="7691" max="7692" width="9.33203125" style="92" customWidth="1"/>
    <col min="7693" max="7695" width="8.83203125" style="92" bestFit="1" customWidth="1"/>
    <col min="7696" max="7696" width="12.33203125" style="92" bestFit="1" customWidth="1"/>
    <col min="7697" max="7697" width="12.83203125" style="92" customWidth="1"/>
    <col min="7698" max="7698" width="10.83203125" style="92"/>
    <col min="7699" max="7699" width="12.5" style="92" bestFit="1" customWidth="1"/>
    <col min="7700" max="7700" width="10.83203125" style="92"/>
    <col min="7701" max="7701" width="11.5" style="92" bestFit="1" customWidth="1"/>
    <col min="7702" max="7937" width="10.83203125" style="92"/>
    <col min="7938" max="7938" width="3.1640625" style="92" customWidth="1"/>
    <col min="7939" max="7939" width="40.33203125" style="92" customWidth="1"/>
    <col min="7940" max="7940" width="11.1640625" style="92" customWidth="1"/>
    <col min="7941" max="7941" width="9.83203125" style="92" customWidth="1"/>
    <col min="7942" max="7942" width="11.6640625" style="92" bestFit="1" customWidth="1"/>
    <col min="7943" max="7943" width="9.5" style="92" customWidth="1"/>
    <col min="7944" max="7944" width="9.1640625" style="92" customWidth="1"/>
    <col min="7945" max="7945" width="8.6640625" style="92" customWidth="1"/>
    <col min="7946" max="7946" width="9.1640625" style="92" customWidth="1"/>
    <col min="7947" max="7948" width="9.33203125" style="92" customWidth="1"/>
    <col min="7949" max="7951" width="8.83203125" style="92" bestFit="1" customWidth="1"/>
    <col min="7952" max="7952" width="12.33203125" style="92" bestFit="1" customWidth="1"/>
    <col min="7953" max="7953" width="12.83203125" style="92" customWidth="1"/>
    <col min="7954" max="7954" width="10.83203125" style="92"/>
    <col min="7955" max="7955" width="12.5" style="92" bestFit="1" customWidth="1"/>
    <col min="7956" max="7956" width="10.83203125" style="92"/>
    <col min="7957" max="7957" width="11.5" style="92" bestFit="1" customWidth="1"/>
    <col min="7958" max="8193" width="10.83203125" style="92"/>
    <col min="8194" max="8194" width="3.1640625" style="92" customWidth="1"/>
    <col min="8195" max="8195" width="40.33203125" style="92" customWidth="1"/>
    <col min="8196" max="8196" width="11.1640625" style="92" customWidth="1"/>
    <col min="8197" max="8197" width="9.83203125" style="92" customWidth="1"/>
    <col min="8198" max="8198" width="11.6640625" style="92" bestFit="1" customWidth="1"/>
    <col min="8199" max="8199" width="9.5" style="92" customWidth="1"/>
    <col min="8200" max="8200" width="9.1640625" style="92" customWidth="1"/>
    <col min="8201" max="8201" width="8.6640625" style="92" customWidth="1"/>
    <col min="8202" max="8202" width="9.1640625" style="92" customWidth="1"/>
    <col min="8203" max="8204" width="9.33203125" style="92" customWidth="1"/>
    <col min="8205" max="8207" width="8.83203125" style="92" bestFit="1" customWidth="1"/>
    <col min="8208" max="8208" width="12.33203125" style="92" bestFit="1" customWidth="1"/>
    <col min="8209" max="8209" width="12.83203125" style="92" customWidth="1"/>
    <col min="8210" max="8210" width="10.83203125" style="92"/>
    <col min="8211" max="8211" width="12.5" style="92" bestFit="1" customWidth="1"/>
    <col min="8212" max="8212" width="10.83203125" style="92"/>
    <col min="8213" max="8213" width="11.5" style="92" bestFit="1" customWidth="1"/>
    <col min="8214" max="8449" width="10.83203125" style="92"/>
    <col min="8450" max="8450" width="3.1640625" style="92" customWidth="1"/>
    <col min="8451" max="8451" width="40.33203125" style="92" customWidth="1"/>
    <col min="8452" max="8452" width="11.1640625" style="92" customWidth="1"/>
    <col min="8453" max="8453" width="9.83203125" style="92" customWidth="1"/>
    <col min="8454" max="8454" width="11.6640625" style="92" bestFit="1" customWidth="1"/>
    <col min="8455" max="8455" width="9.5" style="92" customWidth="1"/>
    <col min="8456" max="8456" width="9.1640625" style="92" customWidth="1"/>
    <col min="8457" max="8457" width="8.6640625" style="92" customWidth="1"/>
    <col min="8458" max="8458" width="9.1640625" style="92" customWidth="1"/>
    <col min="8459" max="8460" width="9.33203125" style="92" customWidth="1"/>
    <col min="8461" max="8463" width="8.83203125" style="92" bestFit="1" customWidth="1"/>
    <col min="8464" max="8464" width="12.33203125" style="92" bestFit="1" customWidth="1"/>
    <col min="8465" max="8465" width="12.83203125" style="92" customWidth="1"/>
    <col min="8466" max="8466" width="10.83203125" style="92"/>
    <col min="8467" max="8467" width="12.5" style="92" bestFit="1" customWidth="1"/>
    <col min="8468" max="8468" width="10.83203125" style="92"/>
    <col min="8469" max="8469" width="11.5" style="92" bestFit="1" customWidth="1"/>
    <col min="8470" max="8705" width="10.83203125" style="92"/>
    <col min="8706" max="8706" width="3.1640625" style="92" customWidth="1"/>
    <col min="8707" max="8707" width="40.33203125" style="92" customWidth="1"/>
    <col min="8708" max="8708" width="11.1640625" style="92" customWidth="1"/>
    <col min="8709" max="8709" width="9.83203125" style="92" customWidth="1"/>
    <col min="8710" max="8710" width="11.6640625" style="92" bestFit="1" customWidth="1"/>
    <col min="8711" max="8711" width="9.5" style="92" customWidth="1"/>
    <col min="8712" max="8712" width="9.1640625" style="92" customWidth="1"/>
    <col min="8713" max="8713" width="8.6640625" style="92" customWidth="1"/>
    <col min="8714" max="8714" width="9.1640625" style="92" customWidth="1"/>
    <col min="8715" max="8716" width="9.33203125" style="92" customWidth="1"/>
    <col min="8717" max="8719" width="8.83203125" style="92" bestFit="1" customWidth="1"/>
    <col min="8720" max="8720" width="12.33203125" style="92" bestFit="1" customWidth="1"/>
    <col min="8721" max="8721" width="12.83203125" style="92" customWidth="1"/>
    <col min="8722" max="8722" width="10.83203125" style="92"/>
    <col min="8723" max="8723" width="12.5" style="92" bestFit="1" customWidth="1"/>
    <col min="8724" max="8724" width="10.83203125" style="92"/>
    <col min="8725" max="8725" width="11.5" style="92" bestFit="1" customWidth="1"/>
    <col min="8726" max="8961" width="10.83203125" style="92"/>
    <col min="8962" max="8962" width="3.1640625" style="92" customWidth="1"/>
    <col min="8963" max="8963" width="40.33203125" style="92" customWidth="1"/>
    <col min="8964" max="8964" width="11.1640625" style="92" customWidth="1"/>
    <col min="8965" max="8965" width="9.83203125" style="92" customWidth="1"/>
    <col min="8966" max="8966" width="11.6640625" style="92" bestFit="1" customWidth="1"/>
    <col min="8967" max="8967" width="9.5" style="92" customWidth="1"/>
    <col min="8968" max="8968" width="9.1640625" style="92" customWidth="1"/>
    <col min="8969" max="8969" width="8.6640625" style="92" customWidth="1"/>
    <col min="8970" max="8970" width="9.1640625" style="92" customWidth="1"/>
    <col min="8971" max="8972" width="9.33203125" style="92" customWidth="1"/>
    <col min="8973" max="8975" width="8.83203125" style="92" bestFit="1" customWidth="1"/>
    <col min="8976" max="8976" width="12.33203125" style="92" bestFit="1" customWidth="1"/>
    <col min="8977" max="8977" width="12.83203125" style="92" customWidth="1"/>
    <col min="8978" max="8978" width="10.83203125" style="92"/>
    <col min="8979" max="8979" width="12.5" style="92" bestFit="1" customWidth="1"/>
    <col min="8980" max="8980" width="10.83203125" style="92"/>
    <col min="8981" max="8981" width="11.5" style="92" bestFit="1" customWidth="1"/>
    <col min="8982" max="9217" width="10.83203125" style="92"/>
    <col min="9218" max="9218" width="3.1640625" style="92" customWidth="1"/>
    <col min="9219" max="9219" width="40.33203125" style="92" customWidth="1"/>
    <col min="9220" max="9220" width="11.1640625" style="92" customWidth="1"/>
    <col min="9221" max="9221" width="9.83203125" style="92" customWidth="1"/>
    <col min="9222" max="9222" width="11.6640625" style="92" bestFit="1" customWidth="1"/>
    <col min="9223" max="9223" width="9.5" style="92" customWidth="1"/>
    <col min="9224" max="9224" width="9.1640625" style="92" customWidth="1"/>
    <col min="9225" max="9225" width="8.6640625" style="92" customWidth="1"/>
    <col min="9226" max="9226" width="9.1640625" style="92" customWidth="1"/>
    <col min="9227" max="9228" width="9.33203125" style="92" customWidth="1"/>
    <col min="9229" max="9231" width="8.83203125" style="92" bestFit="1" customWidth="1"/>
    <col min="9232" max="9232" width="12.33203125" style="92" bestFit="1" customWidth="1"/>
    <col min="9233" max="9233" width="12.83203125" style="92" customWidth="1"/>
    <col min="9234" max="9234" width="10.83203125" style="92"/>
    <col min="9235" max="9235" width="12.5" style="92" bestFit="1" customWidth="1"/>
    <col min="9236" max="9236" width="10.83203125" style="92"/>
    <col min="9237" max="9237" width="11.5" style="92" bestFit="1" customWidth="1"/>
    <col min="9238" max="9473" width="10.83203125" style="92"/>
    <col min="9474" max="9474" width="3.1640625" style="92" customWidth="1"/>
    <col min="9475" max="9475" width="40.33203125" style="92" customWidth="1"/>
    <col min="9476" max="9476" width="11.1640625" style="92" customWidth="1"/>
    <col min="9477" max="9477" width="9.83203125" style="92" customWidth="1"/>
    <col min="9478" max="9478" width="11.6640625" style="92" bestFit="1" customWidth="1"/>
    <col min="9479" max="9479" width="9.5" style="92" customWidth="1"/>
    <col min="9480" max="9480" width="9.1640625" style="92" customWidth="1"/>
    <col min="9481" max="9481" width="8.6640625" style="92" customWidth="1"/>
    <col min="9482" max="9482" width="9.1640625" style="92" customWidth="1"/>
    <col min="9483" max="9484" width="9.33203125" style="92" customWidth="1"/>
    <col min="9485" max="9487" width="8.83203125" style="92" bestFit="1" customWidth="1"/>
    <col min="9488" max="9488" width="12.33203125" style="92" bestFit="1" customWidth="1"/>
    <col min="9489" max="9489" width="12.83203125" style="92" customWidth="1"/>
    <col min="9490" max="9490" width="10.83203125" style="92"/>
    <col min="9491" max="9491" width="12.5" style="92" bestFit="1" customWidth="1"/>
    <col min="9492" max="9492" width="10.83203125" style="92"/>
    <col min="9493" max="9493" width="11.5" style="92" bestFit="1" customWidth="1"/>
    <col min="9494" max="9729" width="10.83203125" style="92"/>
    <col min="9730" max="9730" width="3.1640625" style="92" customWidth="1"/>
    <col min="9731" max="9731" width="40.33203125" style="92" customWidth="1"/>
    <col min="9732" max="9732" width="11.1640625" style="92" customWidth="1"/>
    <col min="9733" max="9733" width="9.83203125" style="92" customWidth="1"/>
    <col min="9734" max="9734" width="11.6640625" style="92" bestFit="1" customWidth="1"/>
    <col min="9735" max="9735" width="9.5" style="92" customWidth="1"/>
    <col min="9736" max="9736" width="9.1640625" style="92" customWidth="1"/>
    <col min="9737" max="9737" width="8.6640625" style="92" customWidth="1"/>
    <col min="9738" max="9738" width="9.1640625" style="92" customWidth="1"/>
    <col min="9739" max="9740" width="9.33203125" style="92" customWidth="1"/>
    <col min="9741" max="9743" width="8.83203125" style="92" bestFit="1" customWidth="1"/>
    <col min="9744" max="9744" width="12.33203125" style="92" bestFit="1" customWidth="1"/>
    <col min="9745" max="9745" width="12.83203125" style="92" customWidth="1"/>
    <col min="9746" max="9746" width="10.83203125" style="92"/>
    <col min="9747" max="9747" width="12.5" style="92" bestFit="1" customWidth="1"/>
    <col min="9748" max="9748" width="10.83203125" style="92"/>
    <col min="9749" max="9749" width="11.5" style="92" bestFit="1" customWidth="1"/>
    <col min="9750" max="9985" width="10.83203125" style="92"/>
    <col min="9986" max="9986" width="3.1640625" style="92" customWidth="1"/>
    <col min="9987" max="9987" width="40.33203125" style="92" customWidth="1"/>
    <col min="9988" max="9988" width="11.1640625" style="92" customWidth="1"/>
    <col min="9989" max="9989" width="9.83203125" style="92" customWidth="1"/>
    <col min="9990" max="9990" width="11.6640625" style="92" bestFit="1" customWidth="1"/>
    <col min="9991" max="9991" width="9.5" style="92" customWidth="1"/>
    <col min="9992" max="9992" width="9.1640625" style="92" customWidth="1"/>
    <col min="9993" max="9993" width="8.6640625" style="92" customWidth="1"/>
    <col min="9994" max="9994" width="9.1640625" style="92" customWidth="1"/>
    <col min="9995" max="9996" width="9.33203125" style="92" customWidth="1"/>
    <col min="9997" max="9999" width="8.83203125" style="92" bestFit="1" customWidth="1"/>
    <col min="10000" max="10000" width="12.33203125" style="92" bestFit="1" customWidth="1"/>
    <col min="10001" max="10001" width="12.83203125" style="92" customWidth="1"/>
    <col min="10002" max="10002" width="10.83203125" style="92"/>
    <col min="10003" max="10003" width="12.5" style="92" bestFit="1" customWidth="1"/>
    <col min="10004" max="10004" width="10.83203125" style="92"/>
    <col min="10005" max="10005" width="11.5" style="92" bestFit="1" customWidth="1"/>
    <col min="10006" max="10241" width="10.83203125" style="92"/>
    <col min="10242" max="10242" width="3.1640625" style="92" customWidth="1"/>
    <col min="10243" max="10243" width="40.33203125" style="92" customWidth="1"/>
    <col min="10244" max="10244" width="11.1640625" style="92" customWidth="1"/>
    <col min="10245" max="10245" width="9.83203125" style="92" customWidth="1"/>
    <col min="10246" max="10246" width="11.6640625" style="92" bestFit="1" customWidth="1"/>
    <col min="10247" max="10247" width="9.5" style="92" customWidth="1"/>
    <col min="10248" max="10248" width="9.1640625" style="92" customWidth="1"/>
    <col min="10249" max="10249" width="8.6640625" style="92" customWidth="1"/>
    <col min="10250" max="10250" width="9.1640625" style="92" customWidth="1"/>
    <col min="10251" max="10252" width="9.33203125" style="92" customWidth="1"/>
    <col min="10253" max="10255" width="8.83203125" style="92" bestFit="1" customWidth="1"/>
    <col min="10256" max="10256" width="12.33203125" style="92" bestFit="1" customWidth="1"/>
    <col min="10257" max="10257" width="12.83203125" style="92" customWidth="1"/>
    <col min="10258" max="10258" width="10.83203125" style="92"/>
    <col min="10259" max="10259" width="12.5" style="92" bestFit="1" customWidth="1"/>
    <col min="10260" max="10260" width="10.83203125" style="92"/>
    <col min="10261" max="10261" width="11.5" style="92" bestFit="1" customWidth="1"/>
    <col min="10262" max="10497" width="10.83203125" style="92"/>
    <col min="10498" max="10498" width="3.1640625" style="92" customWidth="1"/>
    <col min="10499" max="10499" width="40.33203125" style="92" customWidth="1"/>
    <col min="10500" max="10500" width="11.1640625" style="92" customWidth="1"/>
    <col min="10501" max="10501" width="9.83203125" style="92" customWidth="1"/>
    <col min="10502" max="10502" width="11.6640625" style="92" bestFit="1" customWidth="1"/>
    <col min="10503" max="10503" width="9.5" style="92" customWidth="1"/>
    <col min="10504" max="10504" width="9.1640625" style="92" customWidth="1"/>
    <col min="10505" max="10505" width="8.6640625" style="92" customWidth="1"/>
    <col min="10506" max="10506" width="9.1640625" style="92" customWidth="1"/>
    <col min="10507" max="10508" width="9.33203125" style="92" customWidth="1"/>
    <col min="10509" max="10511" width="8.83203125" style="92" bestFit="1" customWidth="1"/>
    <col min="10512" max="10512" width="12.33203125" style="92" bestFit="1" customWidth="1"/>
    <col min="10513" max="10513" width="12.83203125" style="92" customWidth="1"/>
    <col min="10514" max="10514" width="10.83203125" style="92"/>
    <col min="10515" max="10515" width="12.5" style="92" bestFit="1" customWidth="1"/>
    <col min="10516" max="10516" width="10.83203125" style="92"/>
    <col min="10517" max="10517" width="11.5" style="92" bestFit="1" customWidth="1"/>
    <col min="10518" max="10753" width="10.83203125" style="92"/>
    <col min="10754" max="10754" width="3.1640625" style="92" customWidth="1"/>
    <col min="10755" max="10755" width="40.33203125" style="92" customWidth="1"/>
    <col min="10756" max="10756" width="11.1640625" style="92" customWidth="1"/>
    <col min="10757" max="10757" width="9.83203125" style="92" customWidth="1"/>
    <col min="10758" max="10758" width="11.6640625" style="92" bestFit="1" customWidth="1"/>
    <col min="10759" max="10759" width="9.5" style="92" customWidth="1"/>
    <col min="10760" max="10760" width="9.1640625" style="92" customWidth="1"/>
    <col min="10761" max="10761" width="8.6640625" style="92" customWidth="1"/>
    <col min="10762" max="10762" width="9.1640625" style="92" customWidth="1"/>
    <col min="10763" max="10764" width="9.33203125" style="92" customWidth="1"/>
    <col min="10765" max="10767" width="8.83203125" style="92" bestFit="1" customWidth="1"/>
    <col min="10768" max="10768" width="12.33203125" style="92" bestFit="1" customWidth="1"/>
    <col min="10769" max="10769" width="12.83203125" style="92" customWidth="1"/>
    <col min="10770" max="10770" width="10.83203125" style="92"/>
    <col min="10771" max="10771" width="12.5" style="92" bestFit="1" customWidth="1"/>
    <col min="10772" max="10772" width="10.83203125" style="92"/>
    <col min="10773" max="10773" width="11.5" style="92" bestFit="1" customWidth="1"/>
    <col min="10774" max="11009" width="10.83203125" style="92"/>
    <col min="11010" max="11010" width="3.1640625" style="92" customWidth="1"/>
    <col min="11011" max="11011" width="40.33203125" style="92" customWidth="1"/>
    <col min="11012" max="11012" width="11.1640625" style="92" customWidth="1"/>
    <col min="11013" max="11013" width="9.83203125" style="92" customWidth="1"/>
    <col min="11014" max="11014" width="11.6640625" style="92" bestFit="1" customWidth="1"/>
    <col min="11015" max="11015" width="9.5" style="92" customWidth="1"/>
    <col min="11016" max="11016" width="9.1640625" style="92" customWidth="1"/>
    <col min="11017" max="11017" width="8.6640625" style="92" customWidth="1"/>
    <col min="11018" max="11018" width="9.1640625" style="92" customWidth="1"/>
    <col min="11019" max="11020" width="9.33203125" style="92" customWidth="1"/>
    <col min="11021" max="11023" width="8.83203125" style="92" bestFit="1" customWidth="1"/>
    <col min="11024" max="11024" width="12.33203125" style="92" bestFit="1" customWidth="1"/>
    <col min="11025" max="11025" width="12.83203125" style="92" customWidth="1"/>
    <col min="11026" max="11026" width="10.83203125" style="92"/>
    <col min="11027" max="11027" width="12.5" style="92" bestFit="1" customWidth="1"/>
    <col min="11028" max="11028" width="10.83203125" style="92"/>
    <col min="11029" max="11029" width="11.5" style="92" bestFit="1" customWidth="1"/>
    <col min="11030" max="11265" width="10.83203125" style="92"/>
    <col min="11266" max="11266" width="3.1640625" style="92" customWidth="1"/>
    <col min="11267" max="11267" width="40.33203125" style="92" customWidth="1"/>
    <col min="11268" max="11268" width="11.1640625" style="92" customWidth="1"/>
    <col min="11269" max="11269" width="9.83203125" style="92" customWidth="1"/>
    <col min="11270" max="11270" width="11.6640625" style="92" bestFit="1" customWidth="1"/>
    <col min="11271" max="11271" width="9.5" style="92" customWidth="1"/>
    <col min="11272" max="11272" width="9.1640625" style="92" customWidth="1"/>
    <col min="11273" max="11273" width="8.6640625" style="92" customWidth="1"/>
    <col min="11274" max="11274" width="9.1640625" style="92" customWidth="1"/>
    <col min="11275" max="11276" width="9.33203125" style="92" customWidth="1"/>
    <col min="11277" max="11279" width="8.83203125" style="92" bestFit="1" customWidth="1"/>
    <col min="11280" max="11280" width="12.33203125" style="92" bestFit="1" customWidth="1"/>
    <col min="11281" max="11281" width="12.83203125" style="92" customWidth="1"/>
    <col min="11282" max="11282" width="10.83203125" style="92"/>
    <col min="11283" max="11283" width="12.5" style="92" bestFit="1" customWidth="1"/>
    <col min="11284" max="11284" width="10.83203125" style="92"/>
    <col min="11285" max="11285" width="11.5" style="92" bestFit="1" customWidth="1"/>
    <col min="11286" max="11521" width="10.83203125" style="92"/>
    <col min="11522" max="11522" width="3.1640625" style="92" customWidth="1"/>
    <col min="11523" max="11523" width="40.33203125" style="92" customWidth="1"/>
    <col min="11524" max="11524" width="11.1640625" style="92" customWidth="1"/>
    <col min="11525" max="11525" width="9.83203125" style="92" customWidth="1"/>
    <col min="11526" max="11526" width="11.6640625" style="92" bestFit="1" customWidth="1"/>
    <col min="11527" max="11527" width="9.5" style="92" customWidth="1"/>
    <col min="11528" max="11528" width="9.1640625" style="92" customWidth="1"/>
    <col min="11529" max="11529" width="8.6640625" style="92" customWidth="1"/>
    <col min="11530" max="11530" width="9.1640625" style="92" customWidth="1"/>
    <col min="11531" max="11532" width="9.33203125" style="92" customWidth="1"/>
    <col min="11533" max="11535" width="8.83203125" style="92" bestFit="1" customWidth="1"/>
    <col min="11536" max="11536" width="12.33203125" style="92" bestFit="1" customWidth="1"/>
    <col min="11537" max="11537" width="12.83203125" style="92" customWidth="1"/>
    <col min="11538" max="11538" width="10.83203125" style="92"/>
    <col min="11539" max="11539" width="12.5" style="92" bestFit="1" customWidth="1"/>
    <col min="11540" max="11540" width="10.83203125" style="92"/>
    <col min="11541" max="11541" width="11.5" style="92" bestFit="1" customWidth="1"/>
    <col min="11542" max="11777" width="10.83203125" style="92"/>
    <col min="11778" max="11778" width="3.1640625" style="92" customWidth="1"/>
    <col min="11779" max="11779" width="40.33203125" style="92" customWidth="1"/>
    <col min="11780" max="11780" width="11.1640625" style="92" customWidth="1"/>
    <col min="11781" max="11781" width="9.83203125" style="92" customWidth="1"/>
    <col min="11782" max="11782" width="11.6640625" style="92" bestFit="1" customWidth="1"/>
    <col min="11783" max="11783" width="9.5" style="92" customWidth="1"/>
    <col min="11784" max="11784" width="9.1640625" style="92" customWidth="1"/>
    <col min="11785" max="11785" width="8.6640625" style="92" customWidth="1"/>
    <col min="11786" max="11786" width="9.1640625" style="92" customWidth="1"/>
    <col min="11787" max="11788" width="9.33203125" style="92" customWidth="1"/>
    <col min="11789" max="11791" width="8.83203125" style="92" bestFit="1" customWidth="1"/>
    <col min="11792" max="11792" width="12.33203125" style="92" bestFit="1" customWidth="1"/>
    <col min="11793" max="11793" width="12.83203125" style="92" customWidth="1"/>
    <col min="11794" max="11794" width="10.83203125" style="92"/>
    <col min="11795" max="11795" width="12.5" style="92" bestFit="1" customWidth="1"/>
    <col min="11796" max="11796" width="10.83203125" style="92"/>
    <col min="11797" max="11797" width="11.5" style="92" bestFit="1" customWidth="1"/>
    <col min="11798" max="12033" width="10.83203125" style="92"/>
    <col min="12034" max="12034" width="3.1640625" style="92" customWidth="1"/>
    <col min="12035" max="12035" width="40.33203125" style="92" customWidth="1"/>
    <col min="12036" max="12036" width="11.1640625" style="92" customWidth="1"/>
    <col min="12037" max="12037" width="9.83203125" style="92" customWidth="1"/>
    <col min="12038" max="12038" width="11.6640625" style="92" bestFit="1" customWidth="1"/>
    <col min="12039" max="12039" width="9.5" style="92" customWidth="1"/>
    <col min="12040" max="12040" width="9.1640625" style="92" customWidth="1"/>
    <col min="12041" max="12041" width="8.6640625" style="92" customWidth="1"/>
    <col min="12042" max="12042" width="9.1640625" style="92" customWidth="1"/>
    <col min="12043" max="12044" width="9.33203125" style="92" customWidth="1"/>
    <col min="12045" max="12047" width="8.83203125" style="92" bestFit="1" customWidth="1"/>
    <col min="12048" max="12048" width="12.33203125" style="92" bestFit="1" customWidth="1"/>
    <col min="12049" max="12049" width="12.83203125" style="92" customWidth="1"/>
    <col min="12050" max="12050" width="10.83203125" style="92"/>
    <col min="12051" max="12051" width="12.5" style="92" bestFit="1" customWidth="1"/>
    <col min="12052" max="12052" width="10.83203125" style="92"/>
    <col min="12053" max="12053" width="11.5" style="92" bestFit="1" customWidth="1"/>
    <col min="12054" max="12289" width="10.83203125" style="92"/>
    <col min="12290" max="12290" width="3.1640625" style="92" customWidth="1"/>
    <col min="12291" max="12291" width="40.33203125" style="92" customWidth="1"/>
    <col min="12292" max="12292" width="11.1640625" style="92" customWidth="1"/>
    <col min="12293" max="12293" width="9.83203125" style="92" customWidth="1"/>
    <col min="12294" max="12294" width="11.6640625" style="92" bestFit="1" customWidth="1"/>
    <col min="12295" max="12295" width="9.5" style="92" customWidth="1"/>
    <col min="12296" max="12296" width="9.1640625" style="92" customWidth="1"/>
    <col min="12297" max="12297" width="8.6640625" style="92" customWidth="1"/>
    <col min="12298" max="12298" width="9.1640625" style="92" customWidth="1"/>
    <col min="12299" max="12300" width="9.33203125" style="92" customWidth="1"/>
    <col min="12301" max="12303" width="8.83203125" style="92" bestFit="1" customWidth="1"/>
    <col min="12304" max="12304" width="12.33203125" style="92" bestFit="1" customWidth="1"/>
    <col min="12305" max="12305" width="12.83203125" style="92" customWidth="1"/>
    <col min="12306" max="12306" width="10.83203125" style="92"/>
    <col min="12307" max="12307" width="12.5" style="92" bestFit="1" customWidth="1"/>
    <col min="12308" max="12308" width="10.83203125" style="92"/>
    <col min="12309" max="12309" width="11.5" style="92" bestFit="1" customWidth="1"/>
    <col min="12310" max="12545" width="10.83203125" style="92"/>
    <col min="12546" max="12546" width="3.1640625" style="92" customWidth="1"/>
    <col min="12547" max="12547" width="40.33203125" style="92" customWidth="1"/>
    <col min="12548" max="12548" width="11.1640625" style="92" customWidth="1"/>
    <col min="12549" max="12549" width="9.83203125" style="92" customWidth="1"/>
    <col min="12550" max="12550" width="11.6640625" style="92" bestFit="1" customWidth="1"/>
    <col min="12551" max="12551" width="9.5" style="92" customWidth="1"/>
    <col min="12552" max="12552" width="9.1640625" style="92" customWidth="1"/>
    <col min="12553" max="12553" width="8.6640625" style="92" customWidth="1"/>
    <col min="12554" max="12554" width="9.1640625" style="92" customWidth="1"/>
    <col min="12555" max="12556" width="9.33203125" style="92" customWidth="1"/>
    <col min="12557" max="12559" width="8.83203125" style="92" bestFit="1" customWidth="1"/>
    <col min="12560" max="12560" width="12.33203125" style="92" bestFit="1" customWidth="1"/>
    <col min="12561" max="12561" width="12.83203125" style="92" customWidth="1"/>
    <col min="12562" max="12562" width="10.83203125" style="92"/>
    <col min="12563" max="12563" width="12.5" style="92" bestFit="1" customWidth="1"/>
    <col min="12564" max="12564" width="10.83203125" style="92"/>
    <col min="12565" max="12565" width="11.5" style="92" bestFit="1" customWidth="1"/>
    <col min="12566" max="12801" width="10.83203125" style="92"/>
    <col min="12802" max="12802" width="3.1640625" style="92" customWidth="1"/>
    <col min="12803" max="12803" width="40.33203125" style="92" customWidth="1"/>
    <col min="12804" max="12804" width="11.1640625" style="92" customWidth="1"/>
    <col min="12805" max="12805" width="9.83203125" style="92" customWidth="1"/>
    <col min="12806" max="12806" width="11.6640625" style="92" bestFit="1" customWidth="1"/>
    <col min="12807" max="12807" width="9.5" style="92" customWidth="1"/>
    <col min="12808" max="12808" width="9.1640625" style="92" customWidth="1"/>
    <col min="12809" max="12809" width="8.6640625" style="92" customWidth="1"/>
    <col min="12810" max="12810" width="9.1640625" style="92" customWidth="1"/>
    <col min="12811" max="12812" width="9.33203125" style="92" customWidth="1"/>
    <col min="12813" max="12815" width="8.83203125" style="92" bestFit="1" customWidth="1"/>
    <col min="12816" max="12816" width="12.33203125" style="92" bestFit="1" customWidth="1"/>
    <col min="12817" max="12817" width="12.83203125" style="92" customWidth="1"/>
    <col min="12818" max="12818" width="10.83203125" style="92"/>
    <col min="12819" max="12819" width="12.5" style="92" bestFit="1" customWidth="1"/>
    <col min="12820" max="12820" width="10.83203125" style="92"/>
    <col min="12821" max="12821" width="11.5" style="92" bestFit="1" customWidth="1"/>
    <col min="12822" max="13057" width="10.83203125" style="92"/>
    <col min="13058" max="13058" width="3.1640625" style="92" customWidth="1"/>
    <col min="13059" max="13059" width="40.33203125" style="92" customWidth="1"/>
    <col min="13060" max="13060" width="11.1640625" style="92" customWidth="1"/>
    <col min="13061" max="13061" width="9.83203125" style="92" customWidth="1"/>
    <col min="13062" max="13062" width="11.6640625" style="92" bestFit="1" customWidth="1"/>
    <col min="13063" max="13063" width="9.5" style="92" customWidth="1"/>
    <col min="13064" max="13064" width="9.1640625" style="92" customWidth="1"/>
    <col min="13065" max="13065" width="8.6640625" style="92" customWidth="1"/>
    <col min="13066" max="13066" width="9.1640625" style="92" customWidth="1"/>
    <col min="13067" max="13068" width="9.33203125" style="92" customWidth="1"/>
    <col min="13069" max="13071" width="8.83203125" style="92" bestFit="1" customWidth="1"/>
    <col min="13072" max="13072" width="12.33203125" style="92" bestFit="1" customWidth="1"/>
    <col min="13073" max="13073" width="12.83203125" style="92" customWidth="1"/>
    <col min="13074" max="13074" width="10.83203125" style="92"/>
    <col min="13075" max="13075" width="12.5" style="92" bestFit="1" customWidth="1"/>
    <col min="13076" max="13076" width="10.83203125" style="92"/>
    <col min="13077" max="13077" width="11.5" style="92" bestFit="1" customWidth="1"/>
    <col min="13078" max="13313" width="10.83203125" style="92"/>
    <col min="13314" max="13314" width="3.1640625" style="92" customWidth="1"/>
    <col min="13315" max="13315" width="40.33203125" style="92" customWidth="1"/>
    <col min="13316" max="13316" width="11.1640625" style="92" customWidth="1"/>
    <col min="13317" max="13317" width="9.83203125" style="92" customWidth="1"/>
    <col min="13318" max="13318" width="11.6640625" style="92" bestFit="1" customWidth="1"/>
    <col min="13319" max="13319" width="9.5" style="92" customWidth="1"/>
    <col min="13320" max="13320" width="9.1640625" style="92" customWidth="1"/>
    <col min="13321" max="13321" width="8.6640625" style="92" customWidth="1"/>
    <col min="13322" max="13322" width="9.1640625" style="92" customWidth="1"/>
    <col min="13323" max="13324" width="9.33203125" style="92" customWidth="1"/>
    <col min="13325" max="13327" width="8.83203125" style="92" bestFit="1" customWidth="1"/>
    <col min="13328" max="13328" width="12.33203125" style="92" bestFit="1" customWidth="1"/>
    <col min="13329" max="13329" width="12.83203125" style="92" customWidth="1"/>
    <col min="13330" max="13330" width="10.83203125" style="92"/>
    <col min="13331" max="13331" width="12.5" style="92" bestFit="1" customWidth="1"/>
    <col min="13332" max="13332" width="10.83203125" style="92"/>
    <col min="13333" max="13333" width="11.5" style="92" bestFit="1" customWidth="1"/>
    <col min="13334" max="13569" width="10.83203125" style="92"/>
    <col min="13570" max="13570" width="3.1640625" style="92" customWidth="1"/>
    <col min="13571" max="13571" width="40.33203125" style="92" customWidth="1"/>
    <col min="13572" max="13572" width="11.1640625" style="92" customWidth="1"/>
    <col min="13573" max="13573" width="9.83203125" style="92" customWidth="1"/>
    <col min="13574" max="13574" width="11.6640625" style="92" bestFit="1" customWidth="1"/>
    <col min="13575" max="13575" width="9.5" style="92" customWidth="1"/>
    <col min="13576" max="13576" width="9.1640625" style="92" customWidth="1"/>
    <col min="13577" max="13577" width="8.6640625" style="92" customWidth="1"/>
    <col min="13578" max="13578" width="9.1640625" style="92" customWidth="1"/>
    <col min="13579" max="13580" width="9.33203125" style="92" customWidth="1"/>
    <col min="13581" max="13583" width="8.83203125" style="92" bestFit="1" customWidth="1"/>
    <col min="13584" max="13584" width="12.33203125" style="92" bestFit="1" customWidth="1"/>
    <col min="13585" max="13585" width="12.83203125" style="92" customWidth="1"/>
    <col min="13586" max="13586" width="10.83203125" style="92"/>
    <col min="13587" max="13587" width="12.5" style="92" bestFit="1" customWidth="1"/>
    <col min="13588" max="13588" width="10.83203125" style="92"/>
    <col min="13589" max="13589" width="11.5" style="92" bestFit="1" customWidth="1"/>
    <col min="13590" max="13825" width="10.83203125" style="92"/>
    <col min="13826" max="13826" width="3.1640625" style="92" customWidth="1"/>
    <col min="13827" max="13827" width="40.33203125" style="92" customWidth="1"/>
    <col min="13828" max="13828" width="11.1640625" style="92" customWidth="1"/>
    <col min="13829" max="13829" width="9.83203125" style="92" customWidth="1"/>
    <col min="13830" max="13830" width="11.6640625" style="92" bestFit="1" customWidth="1"/>
    <col min="13831" max="13831" width="9.5" style="92" customWidth="1"/>
    <col min="13832" max="13832" width="9.1640625" style="92" customWidth="1"/>
    <col min="13833" max="13833" width="8.6640625" style="92" customWidth="1"/>
    <col min="13834" max="13834" width="9.1640625" style="92" customWidth="1"/>
    <col min="13835" max="13836" width="9.33203125" style="92" customWidth="1"/>
    <col min="13837" max="13839" width="8.83203125" style="92" bestFit="1" customWidth="1"/>
    <col min="13840" max="13840" width="12.33203125" style="92" bestFit="1" customWidth="1"/>
    <col min="13841" max="13841" width="12.83203125" style="92" customWidth="1"/>
    <col min="13842" max="13842" width="10.83203125" style="92"/>
    <col min="13843" max="13843" width="12.5" style="92" bestFit="1" customWidth="1"/>
    <col min="13844" max="13844" width="10.83203125" style="92"/>
    <col min="13845" max="13845" width="11.5" style="92" bestFit="1" customWidth="1"/>
    <col min="13846" max="14081" width="10.83203125" style="92"/>
    <col min="14082" max="14082" width="3.1640625" style="92" customWidth="1"/>
    <col min="14083" max="14083" width="40.33203125" style="92" customWidth="1"/>
    <col min="14084" max="14084" width="11.1640625" style="92" customWidth="1"/>
    <col min="14085" max="14085" width="9.83203125" style="92" customWidth="1"/>
    <col min="14086" max="14086" width="11.6640625" style="92" bestFit="1" customWidth="1"/>
    <col min="14087" max="14087" width="9.5" style="92" customWidth="1"/>
    <col min="14088" max="14088" width="9.1640625" style="92" customWidth="1"/>
    <col min="14089" max="14089" width="8.6640625" style="92" customWidth="1"/>
    <col min="14090" max="14090" width="9.1640625" style="92" customWidth="1"/>
    <col min="14091" max="14092" width="9.33203125" style="92" customWidth="1"/>
    <col min="14093" max="14095" width="8.83203125" style="92" bestFit="1" customWidth="1"/>
    <col min="14096" max="14096" width="12.33203125" style="92" bestFit="1" customWidth="1"/>
    <col min="14097" max="14097" width="12.83203125" style="92" customWidth="1"/>
    <col min="14098" max="14098" width="10.83203125" style="92"/>
    <col min="14099" max="14099" width="12.5" style="92" bestFit="1" customWidth="1"/>
    <col min="14100" max="14100" width="10.83203125" style="92"/>
    <col min="14101" max="14101" width="11.5" style="92" bestFit="1" customWidth="1"/>
    <col min="14102" max="14337" width="10.83203125" style="92"/>
    <col min="14338" max="14338" width="3.1640625" style="92" customWidth="1"/>
    <col min="14339" max="14339" width="40.33203125" style="92" customWidth="1"/>
    <col min="14340" max="14340" width="11.1640625" style="92" customWidth="1"/>
    <col min="14341" max="14341" width="9.83203125" style="92" customWidth="1"/>
    <col min="14342" max="14342" width="11.6640625" style="92" bestFit="1" customWidth="1"/>
    <col min="14343" max="14343" width="9.5" style="92" customWidth="1"/>
    <col min="14344" max="14344" width="9.1640625" style="92" customWidth="1"/>
    <col min="14345" max="14345" width="8.6640625" style="92" customWidth="1"/>
    <col min="14346" max="14346" width="9.1640625" style="92" customWidth="1"/>
    <col min="14347" max="14348" width="9.33203125" style="92" customWidth="1"/>
    <col min="14349" max="14351" width="8.83203125" style="92" bestFit="1" customWidth="1"/>
    <col min="14352" max="14352" width="12.33203125" style="92" bestFit="1" customWidth="1"/>
    <col min="14353" max="14353" width="12.83203125" style="92" customWidth="1"/>
    <col min="14354" max="14354" width="10.83203125" style="92"/>
    <col min="14355" max="14355" width="12.5" style="92" bestFit="1" customWidth="1"/>
    <col min="14356" max="14356" width="10.83203125" style="92"/>
    <col min="14357" max="14357" width="11.5" style="92" bestFit="1" customWidth="1"/>
    <col min="14358" max="14593" width="10.83203125" style="92"/>
    <col min="14594" max="14594" width="3.1640625" style="92" customWidth="1"/>
    <col min="14595" max="14595" width="40.33203125" style="92" customWidth="1"/>
    <col min="14596" max="14596" width="11.1640625" style="92" customWidth="1"/>
    <col min="14597" max="14597" width="9.83203125" style="92" customWidth="1"/>
    <col min="14598" max="14598" width="11.6640625" style="92" bestFit="1" customWidth="1"/>
    <col min="14599" max="14599" width="9.5" style="92" customWidth="1"/>
    <col min="14600" max="14600" width="9.1640625" style="92" customWidth="1"/>
    <col min="14601" max="14601" width="8.6640625" style="92" customWidth="1"/>
    <col min="14602" max="14602" width="9.1640625" style="92" customWidth="1"/>
    <col min="14603" max="14604" width="9.33203125" style="92" customWidth="1"/>
    <col min="14605" max="14607" width="8.83203125" style="92" bestFit="1" customWidth="1"/>
    <col min="14608" max="14608" width="12.33203125" style="92" bestFit="1" customWidth="1"/>
    <col min="14609" max="14609" width="12.83203125" style="92" customWidth="1"/>
    <col min="14610" max="14610" width="10.83203125" style="92"/>
    <col min="14611" max="14611" width="12.5" style="92" bestFit="1" customWidth="1"/>
    <col min="14612" max="14612" width="10.83203125" style="92"/>
    <col min="14613" max="14613" width="11.5" style="92" bestFit="1" customWidth="1"/>
    <col min="14614" max="14849" width="10.83203125" style="92"/>
    <col min="14850" max="14850" width="3.1640625" style="92" customWidth="1"/>
    <col min="14851" max="14851" width="40.33203125" style="92" customWidth="1"/>
    <col min="14852" max="14852" width="11.1640625" style="92" customWidth="1"/>
    <col min="14853" max="14853" width="9.83203125" style="92" customWidth="1"/>
    <col min="14854" max="14854" width="11.6640625" style="92" bestFit="1" customWidth="1"/>
    <col min="14855" max="14855" width="9.5" style="92" customWidth="1"/>
    <col min="14856" max="14856" width="9.1640625" style="92" customWidth="1"/>
    <col min="14857" max="14857" width="8.6640625" style="92" customWidth="1"/>
    <col min="14858" max="14858" width="9.1640625" style="92" customWidth="1"/>
    <col min="14859" max="14860" width="9.33203125" style="92" customWidth="1"/>
    <col min="14861" max="14863" width="8.83203125" style="92" bestFit="1" customWidth="1"/>
    <col min="14864" max="14864" width="12.33203125" style="92" bestFit="1" customWidth="1"/>
    <col min="14865" max="14865" width="12.83203125" style="92" customWidth="1"/>
    <col min="14866" max="14866" width="10.83203125" style="92"/>
    <col min="14867" max="14867" width="12.5" style="92" bestFit="1" customWidth="1"/>
    <col min="14868" max="14868" width="10.83203125" style="92"/>
    <col min="14869" max="14869" width="11.5" style="92" bestFit="1" customWidth="1"/>
    <col min="14870" max="15105" width="10.83203125" style="92"/>
    <col min="15106" max="15106" width="3.1640625" style="92" customWidth="1"/>
    <col min="15107" max="15107" width="40.33203125" style="92" customWidth="1"/>
    <col min="15108" max="15108" width="11.1640625" style="92" customWidth="1"/>
    <col min="15109" max="15109" width="9.83203125" style="92" customWidth="1"/>
    <col min="15110" max="15110" width="11.6640625" style="92" bestFit="1" customWidth="1"/>
    <col min="15111" max="15111" width="9.5" style="92" customWidth="1"/>
    <col min="15112" max="15112" width="9.1640625" style="92" customWidth="1"/>
    <col min="15113" max="15113" width="8.6640625" style="92" customWidth="1"/>
    <col min="15114" max="15114" width="9.1640625" style="92" customWidth="1"/>
    <col min="15115" max="15116" width="9.33203125" style="92" customWidth="1"/>
    <col min="15117" max="15119" width="8.83203125" style="92" bestFit="1" customWidth="1"/>
    <col min="15120" max="15120" width="12.33203125" style="92" bestFit="1" customWidth="1"/>
    <col min="15121" max="15121" width="12.83203125" style="92" customWidth="1"/>
    <col min="15122" max="15122" width="10.83203125" style="92"/>
    <col min="15123" max="15123" width="12.5" style="92" bestFit="1" customWidth="1"/>
    <col min="15124" max="15124" width="10.83203125" style="92"/>
    <col min="15125" max="15125" width="11.5" style="92" bestFit="1" customWidth="1"/>
    <col min="15126" max="15361" width="10.83203125" style="92"/>
    <col min="15362" max="15362" width="3.1640625" style="92" customWidth="1"/>
    <col min="15363" max="15363" width="40.33203125" style="92" customWidth="1"/>
    <col min="15364" max="15364" width="11.1640625" style="92" customWidth="1"/>
    <col min="15365" max="15365" width="9.83203125" style="92" customWidth="1"/>
    <col min="15366" max="15366" width="11.6640625" style="92" bestFit="1" customWidth="1"/>
    <col min="15367" max="15367" width="9.5" style="92" customWidth="1"/>
    <col min="15368" max="15368" width="9.1640625" style="92" customWidth="1"/>
    <col min="15369" max="15369" width="8.6640625" style="92" customWidth="1"/>
    <col min="15370" max="15370" width="9.1640625" style="92" customWidth="1"/>
    <col min="15371" max="15372" width="9.33203125" style="92" customWidth="1"/>
    <col min="15373" max="15375" width="8.83203125" style="92" bestFit="1" customWidth="1"/>
    <col min="15376" max="15376" width="12.33203125" style="92" bestFit="1" customWidth="1"/>
    <col min="15377" max="15377" width="12.83203125" style="92" customWidth="1"/>
    <col min="15378" max="15378" width="10.83203125" style="92"/>
    <col min="15379" max="15379" width="12.5" style="92" bestFit="1" customWidth="1"/>
    <col min="15380" max="15380" width="10.83203125" style="92"/>
    <col min="15381" max="15381" width="11.5" style="92" bestFit="1" customWidth="1"/>
    <col min="15382" max="15617" width="10.83203125" style="92"/>
    <col min="15618" max="15618" width="3.1640625" style="92" customWidth="1"/>
    <col min="15619" max="15619" width="40.33203125" style="92" customWidth="1"/>
    <col min="15620" max="15620" width="11.1640625" style="92" customWidth="1"/>
    <col min="15621" max="15621" width="9.83203125" style="92" customWidth="1"/>
    <col min="15622" max="15622" width="11.6640625" style="92" bestFit="1" customWidth="1"/>
    <col min="15623" max="15623" width="9.5" style="92" customWidth="1"/>
    <col min="15624" max="15624" width="9.1640625" style="92" customWidth="1"/>
    <col min="15625" max="15625" width="8.6640625" style="92" customWidth="1"/>
    <col min="15626" max="15626" width="9.1640625" style="92" customWidth="1"/>
    <col min="15627" max="15628" width="9.33203125" style="92" customWidth="1"/>
    <col min="15629" max="15631" width="8.83203125" style="92" bestFit="1" customWidth="1"/>
    <col min="15632" max="15632" width="12.33203125" style="92" bestFit="1" customWidth="1"/>
    <col min="15633" max="15633" width="12.83203125" style="92" customWidth="1"/>
    <col min="15634" max="15634" width="10.83203125" style="92"/>
    <col min="15635" max="15635" width="12.5" style="92" bestFit="1" customWidth="1"/>
    <col min="15636" max="15636" width="10.83203125" style="92"/>
    <col min="15637" max="15637" width="11.5" style="92" bestFit="1" customWidth="1"/>
    <col min="15638" max="15873" width="10.83203125" style="92"/>
    <col min="15874" max="15874" width="3.1640625" style="92" customWidth="1"/>
    <col min="15875" max="15875" width="40.33203125" style="92" customWidth="1"/>
    <col min="15876" max="15876" width="11.1640625" style="92" customWidth="1"/>
    <col min="15877" max="15877" width="9.83203125" style="92" customWidth="1"/>
    <col min="15878" max="15878" width="11.6640625" style="92" bestFit="1" customWidth="1"/>
    <col min="15879" max="15879" width="9.5" style="92" customWidth="1"/>
    <col min="15880" max="15880" width="9.1640625" style="92" customWidth="1"/>
    <col min="15881" max="15881" width="8.6640625" style="92" customWidth="1"/>
    <col min="15882" max="15882" width="9.1640625" style="92" customWidth="1"/>
    <col min="15883" max="15884" width="9.33203125" style="92" customWidth="1"/>
    <col min="15885" max="15887" width="8.83203125" style="92" bestFit="1" customWidth="1"/>
    <col min="15888" max="15888" width="12.33203125" style="92" bestFit="1" customWidth="1"/>
    <col min="15889" max="15889" width="12.83203125" style="92" customWidth="1"/>
    <col min="15890" max="15890" width="10.83203125" style="92"/>
    <col min="15891" max="15891" width="12.5" style="92" bestFit="1" customWidth="1"/>
    <col min="15892" max="15892" width="10.83203125" style="92"/>
    <col min="15893" max="15893" width="11.5" style="92" bestFit="1" customWidth="1"/>
    <col min="15894" max="16129" width="10.83203125" style="92"/>
    <col min="16130" max="16130" width="3.1640625" style="92" customWidth="1"/>
    <col min="16131" max="16131" width="40.33203125" style="92" customWidth="1"/>
    <col min="16132" max="16132" width="11.1640625" style="92" customWidth="1"/>
    <col min="16133" max="16133" width="9.83203125" style="92" customWidth="1"/>
    <col min="16134" max="16134" width="11.6640625" style="92" bestFit="1" customWidth="1"/>
    <col min="16135" max="16135" width="9.5" style="92" customWidth="1"/>
    <col min="16136" max="16136" width="9.1640625" style="92" customWidth="1"/>
    <col min="16137" max="16137" width="8.6640625" style="92" customWidth="1"/>
    <col min="16138" max="16138" width="9.1640625" style="92" customWidth="1"/>
    <col min="16139" max="16140" width="9.33203125" style="92" customWidth="1"/>
    <col min="16141" max="16143" width="8.83203125" style="92" bestFit="1" customWidth="1"/>
    <col min="16144" max="16144" width="12.33203125" style="92" bestFit="1" customWidth="1"/>
    <col min="16145" max="16145" width="12.83203125" style="92" customWidth="1"/>
    <col min="16146" max="16146" width="10.83203125" style="92"/>
    <col min="16147" max="16147" width="12.5" style="92" bestFit="1" customWidth="1"/>
    <col min="16148" max="16148" width="10.83203125" style="92"/>
    <col min="16149" max="16149" width="11.5" style="92" bestFit="1" customWidth="1"/>
    <col min="16150" max="16384" width="10.83203125" style="92"/>
  </cols>
  <sheetData>
    <row r="2" spans="2:28" customFormat="1" ht="25" x14ac:dyDescent="0.2">
      <c r="B2" s="132" t="s">
        <v>200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13"/>
      <c r="S2" s="141" t="s">
        <v>121</v>
      </c>
      <c r="T2" s="140">
        <v>0.03</v>
      </c>
    </row>
    <row r="4" spans="2:28" x14ac:dyDescent="0.2">
      <c r="C4" s="107"/>
      <c r="D4" s="151">
        <v>1</v>
      </c>
      <c r="E4" s="151">
        <v>2</v>
      </c>
      <c r="F4" s="151">
        <v>3</v>
      </c>
      <c r="G4" s="151">
        <v>4</v>
      </c>
      <c r="H4" s="151">
        <v>5</v>
      </c>
      <c r="I4" s="151">
        <v>6</v>
      </c>
      <c r="J4" s="151">
        <v>7</v>
      </c>
      <c r="K4" s="151">
        <v>8</v>
      </c>
      <c r="L4" s="151">
        <v>9</v>
      </c>
      <c r="M4" s="151">
        <v>10</v>
      </c>
      <c r="N4" s="151">
        <v>11</v>
      </c>
      <c r="O4" s="151">
        <v>12</v>
      </c>
      <c r="P4" s="146" t="s">
        <v>135</v>
      </c>
      <c r="Q4" s="122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2:28" x14ac:dyDescent="0.2">
      <c r="C5" s="129" t="s">
        <v>117</v>
      </c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07"/>
      <c r="R5" s="107"/>
      <c r="S5" s="107"/>
      <c r="T5" s="107"/>
      <c r="U5" s="123"/>
      <c r="V5" s="107"/>
      <c r="W5" s="107"/>
      <c r="X5" s="107"/>
      <c r="Y5" s="107"/>
      <c r="Z5" s="107"/>
      <c r="AA5" s="107"/>
      <c r="AB5" s="107"/>
    </row>
    <row r="6" spans="2:28" s="116" customFormat="1" x14ac:dyDescent="0.2">
      <c r="C6" s="133"/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52"/>
      <c r="Q6" s="135"/>
      <c r="R6" s="135"/>
      <c r="S6" s="135"/>
      <c r="T6" s="135"/>
      <c r="U6" s="134"/>
      <c r="V6" s="135"/>
      <c r="W6" s="135"/>
      <c r="X6" s="135"/>
      <c r="Y6" s="135"/>
      <c r="Z6" s="135"/>
      <c r="AA6" s="135"/>
      <c r="AB6" s="135"/>
    </row>
    <row r="7" spans="2:28" s="116" customFormat="1" x14ac:dyDescent="0.2">
      <c r="C7" s="138" t="s">
        <v>85</v>
      </c>
      <c r="D7" s="157"/>
      <c r="E7" s="158">
        <f>+E9/D11-1</f>
        <v>2</v>
      </c>
      <c r="F7" s="158">
        <f t="shared" ref="F7:O7" si="0">+F9/E11-1</f>
        <v>0.66666666666666674</v>
      </c>
      <c r="G7" s="158">
        <f t="shared" si="0"/>
        <v>0.5</v>
      </c>
      <c r="H7" s="158">
        <f t="shared" si="0"/>
        <v>0.33333333333333326</v>
      </c>
      <c r="I7" s="158">
        <f t="shared" si="0"/>
        <v>0.30000000000000004</v>
      </c>
      <c r="J7" s="158">
        <f t="shared" si="0"/>
        <v>0.15384615384615374</v>
      </c>
      <c r="K7" s="158">
        <f t="shared" si="0"/>
        <v>0.1333333333333333</v>
      </c>
      <c r="L7" s="158">
        <f t="shared" si="0"/>
        <v>0.17647058823529416</v>
      </c>
      <c r="M7" s="158">
        <f t="shared" si="0"/>
        <v>0.14999999999999991</v>
      </c>
      <c r="N7" s="158">
        <f t="shared" si="0"/>
        <v>4.3478260869565188E-2</v>
      </c>
      <c r="O7" s="158">
        <f t="shared" si="0"/>
        <v>4.1666666666666741E-2</v>
      </c>
      <c r="P7" s="152"/>
      <c r="Q7" s="135"/>
      <c r="R7" s="135"/>
      <c r="S7" s="135"/>
      <c r="T7" s="135"/>
      <c r="U7" s="134"/>
      <c r="V7" s="135"/>
      <c r="W7" s="135"/>
      <c r="X7" s="135"/>
      <c r="Y7" s="135"/>
      <c r="Z7" s="135"/>
      <c r="AA7" s="135"/>
      <c r="AB7" s="135"/>
    </row>
    <row r="8" spans="2:28" s="116" customFormat="1" x14ac:dyDescent="0.2">
      <c r="C8" s="137" t="s">
        <v>90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135"/>
      <c r="R8" s="135"/>
      <c r="S8" s="135"/>
      <c r="T8" s="135"/>
      <c r="U8" s="134"/>
      <c r="V8" s="135"/>
      <c r="W8" s="135"/>
      <c r="X8" s="135"/>
      <c r="Y8" s="135"/>
      <c r="Z8" s="135"/>
      <c r="AA8" s="135"/>
      <c r="AB8" s="135"/>
    </row>
    <row r="9" spans="2:28" s="116" customFormat="1" x14ac:dyDescent="0.2">
      <c r="C9" s="137" t="s">
        <v>91</v>
      </c>
      <c r="D9" s="168">
        <v>10</v>
      </c>
      <c r="E9" s="168">
        <v>30</v>
      </c>
      <c r="F9" s="168">
        <v>50</v>
      </c>
      <c r="G9" s="168">
        <v>75</v>
      </c>
      <c r="H9" s="168">
        <v>100</v>
      </c>
      <c r="I9" s="168">
        <v>130</v>
      </c>
      <c r="J9" s="168">
        <v>150</v>
      </c>
      <c r="K9" s="168">
        <v>170</v>
      </c>
      <c r="L9" s="168">
        <v>200</v>
      </c>
      <c r="M9" s="168">
        <v>230</v>
      </c>
      <c r="N9" s="168">
        <v>240</v>
      </c>
      <c r="O9" s="168">
        <v>250</v>
      </c>
      <c r="P9" s="169">
        <f t="shared" ref="P9" si="1">+SUM(D9:O9)</f>
        <v>1635</v>
      </c>
      <c r="Q9" s="135"/>
      <c r="R9" s="135"/>
      <c r="S9" s="135"/>
      <c r="T9" s="135"/>
      <c r="U9" s="134"/>
      <c r="V9" s="135"/>
      <c r="W9" s="135"/>
      <c r="X9" s="135"/>
      <c r="Y9" s="135"/>
      <c r="Z9" s="135"/>
      <c r="AA9" s="135"/>
      <c r="AB9" s="135"/>
    </row>
    <row r="10" spans="2:28" s="116" customFormat="1" x14ac:dyDescent="0.2">
      <c r="C10" s="137" t="s">
        <v>92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9"/>
      <c r="Q10" s="135"/>
      <c r="R10" s="135"/>
      <c r="S10" s="135"/>
      <c r="T10" s="135"/>
      <c r="U10" s="134"/>
      <c r="V10" s="135"/>
      <c r="W10" s="135"/>
      <c r="X10" s="135"/>
      <c r="Y10" s="135"/>
      <c r="Z10" s="135"/>
      <c r="AA10" s="135"/>
      <c r="AB10" s="135"/>
    </row>
    <row r="11" spans="2:28" s="116" customFormat="1" x14ac:dyDescent="0.2">
      <c r="C11" s="162" t="s">
        <v>86</v>
      </c>
      <c r="D11" s="170">
        <f>D8+D9+D10</f>
        <v>10</v>
      </c>
      <c r="E11" s="170">
        <f t="shared" ref="E11:O11" si="2">E8+E9+E10</f>
        <v>30</v>
      </c>
      <c r="F11" s="170">
        <f t="shared" si="2"/>
        <v>50</v>
      </c>
      <c r="G11" s="170">
        <f t="shared" si="2"/>
        <v>75</v>
      </c>
      <c r="H11" s="170">
        <f t="shared" si="2"/>
        <v>100</v>
      </c>
      <c r="I11" s="170">
        <f t="shared" si="2"/>
        <v>130</v>
      </c>
      <c r="J11" s="170">
        <f t="shared" si="2"/>
        <v>150</v>
      </c>
      <c r="K11" s="170">
        <f t="shared" si="2"/>
        <v>170</v>
      </c>
      <c r="L11" s="170">
        <f t="shared" si="2"/>
        <v>200</v>
      </c>
      <c r="M11" s="170">
        <f t="shared" si="2"/>
        <v>230</v>
      </c>
      <c r="N11" s="170">
        <f t="shared" si="2"/>
        <v>240</v>
      </c>
      <c r="O11" s="170">
        <f t="shared" si="2"/>
        <v>250</v>
      </c>
      <c r="P11" s="171">
        <f>+SUM(D11:O11)</f>
        <v>1635</v>
      </c>
      <c r="Q11" s="135"/>
      <c r="R11" s="135"/>
      <c r="S11" s="135"/>
      <c r="T11" s="135"/>
      <c r="U11" s="134"/>
      <c r="V11" s="135"/>
      <c r="W11" s="135"/>
      <c r="X11" s="135"/>
      <c r="Y11" s="135"/>
      <c r="Z11" s="135"/>
      <c r="AA11" s="135"/>
      <c r="AB11" s="135"/>
    </row>
    <row r="12" spans="2:28" x14ac:dyDescent="0.2">
      <c r="C12" s="139" t="s">
        <v>93</v>
      </c>
      <c r="D12" s="160">
        <v>393.59999999999997</v>
      </c>
      <c r="E12" s="160">
        <v>1180.8</v>
      </c>
      <c r="F12" s="160">
        <v>1968</v>
      </c>
      <c r="G12" s="160">
        <v>2952</v>
      </c>
      <c r="H12" s="160">
        <v>3936</v>
      </c>
      <c r="I12" s="160">
        <v>5116.8</v>
      </c>
      <c r="J12" s="160">
        <v>5904</v>
      </c>
      <c r="K12" s="160">
        <v>6691.2</v>
      </c>
      <c r="L12" s="160">
        <v>7872</v>
      </c>
      <c r="M12" s="160">
        <v>9052.7999999999993</v>
      </c>
      <c r="N12" s="160">
        <v>9446.4</v>
      </c>
      <c r="O12" s="160">
        <v>9840</v>
      </c>
      <c r="P12" s="155">
        <f t="shared" ref="P12:P14" si="3">+SUM(D12:O12)</f>
        <v>64353.599999999999</v>
      </c>
      <c r="Q12" s="118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2:28" x14ac:dyDescent="0.2">
      <c r="C13" s="139" t="s">
        <v>94</v>
      </c>
      <c r="D13" s="160">
        <v>6.2686567164179117</v>
      </c>
      <c r="E13" s="160">
        <v>18.805970149253735</v>
      </c>
      <c r="F13" s="160">
        <v>31.343283582089555</v>
      </c>
      <c r="G13" s="160">
        <v>47.014925373134332</v>
      </c>
      <c r="H13" s="160">
        <v>62.68656716417911</v>
      </c>
      <c r="I13" s="160">
        <v>81.492537313432848</v>
      </c>
      <c r="J13" s="160">
        <v>94.029850746268664</v>
      </c>
      <c r="K13" s="160">
        <v>106.56716417910448</v>
      </c>
      <c r="L13" s="160">
        <v>125.37313432835822</v>
      </c>
      <c r="M13" s="160">
        <v>144.17910447761196</v>
      </c>
      <c r="N13" s="160">
        <v>150.44776119402988</v>
      </c>
      <c r="O13" s="160">
        <v>156.71641791044777</v>
      </c>
      <c r="P13" s="155">
        <f t="shared" si="3"/>
        <v>1024.9253731343285</v>
      </c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2:28" x14ac:dyDescent="0.2">
      <c r="C14" s="163" t="s">
        <v>95</v>
      </c>
      <c r="D14" s="164">
        <v>3.54</v>
      </c>
      <c r="E14" s="164">
        <v>7.08</v>
      </c>
      <c r="F14" s="164">
        <v>8.85</v>
      </c>
      <c r="G14" s="164">
        <v>17.7</v>
      </c>
      <c r="H14" s="164">
        <v>26.55</v>
      </c>
      <c r="I14" s="164">
        <v>35.4</v>
      </c>
      <c r="J14" s="164">
        <v>35.4</v>
      </c>
      <c r="K14" s="164">
        <v>35.4</v>
      </c>
      <c r="L14" s="164">
        <v>38.94</v>
      </c>
      <c r="M14" s="164">
        <v>42.480000000000004</v>
      </c>
      <c r="N14" s="164">
        <v>53.1</v>
      </c>
      <c r="O14" s="164">
        <v>56.64</v>
      </c>
      <c r="P14" s="165">
        <f t="shared" si="3"/>
        <v>361.08000000000004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2:28" x14ac:dyDescent="0.2">
      <c r="C15" s="125" t="s">
        <v>118</v>
      </c>
      <c r="D15" s="161">
        <f>+SUM(D12:D14)</f>
        <v>403.40865671641791</v>
      </c>
      <c r="E15" s="161">
        <f t="shared" ref="E15:O15" si="4">+SUM(E12:E14)</f>
        <v>1206.6859701492535</v>
      </c>
      <c r="F15" s="161">
        <f t="shared" si="4"/>
        <v>2008.1932835820894</v>
      </c>
      <c r="G15" s="161">
        <f t="shared" si="4"/>
        <v>3016.7149253731341</v>
      </c>
      <c r="H15" s="161">
        <f t="shared" si="4"/>
        <v>4025.2365671641792</v>
      </c>
      <c r="I15" s="161">
        <f t="shared" si="4"/>
        <v>5233.6925373134327</v>
      </c>
      <c r="J15" s="161">
        <f t="shared" si="4"/>
        <v>6033.4298507462681</v>
      </c>
      <c r="K15" s="161">
        <f t="shared" si="4"/>
        <v>6833.1671641791036</v>
      </c>
      <c r="L15" s="161">
        <f t="shared" si="4"/>
        <v>8036.3131343283576</v>
      </c>
      <c r="M15" s="161">
        <f t="shared" si="4"/>
        <v>9239.4591044776116</v>
      </c>
      <c r="N15" s="161">
        <f t="shared" si="4"/>
        <v>9649.9477611940292</v>
      </c>
      <c r="O15" s="161">
        <f t="shared" si="4"/>
        <v>10053.356417910447</v>
      </c>
      <c r="P15" s="156">
        <f>+SUM(D15:O15)</f>
        <v>65739.605373134327</v>
      </c>
      <c r="Q15" s="118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2:28" x14ac:dyDescent="0.2"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3:28" x14ac:dyDescent="0.2">
      <c r="C17" s="129" t="s">
        <v>119</v>
      </c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3:28" x14ac:dyDescent="0.2">
      <c r="C18" s="133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3:28" x14ac:dyDescent="0.2">
      <c r="C19" s="126" t="s">
        <v>120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3:28" x14ac:dyDescent="0.2">
      <c r="C20" s="124" t="s">
        <v>132</v>
      </c>
      <c r="D20" s="97">
        <v>500</v>
      </c>
      <c r="E20" s="97">
        <v>500</v>
      </c>
      <c r="F20" s="97">
        <v>500</v>
      </c>
      <c r="G20" s="97">
        <v>500</v>
      </c>
      <c r="H20" s="97">
        <v>500</v>
      </c>
      <c r="I20" s="97">
        <v>500</v>
      </c>
      <c r="J20" s="97">
        <v>500</v>
      </c>
      <c r="K20" s="97">
        <v>250</v>
      </c>
      <c r="L20" s="97">
        <v>250</v>
      </c>
      <c r="M20" s="97">
        <v>250</v>
      </c>
      <c r="N20" s="97">
        <v>250</v>
      </c>
      <c r="O20" s="97">
        <v>200</v>
      </c>
      <c r="P20" s="205">
        <f t="shared" ref="P20:P25" si="5">+SUM(D20:O20)</f>
        <v>4700</v>
      </c>
      <c r="Q20" s="118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3:28" x14ac:dyDescent="0.2">
      <c r="C21" s="107" t="s">
        <v>107</v>
      </c>
      <c r="D21" s="123">
        <v>1000</v>
      </c>
      <c r="E21" s="123">
        <v>1000</v>
      </c>
      <c r="F21" s="123">
        <v>1000</v>
      </c>
      <c r="G21" s="123">
        <v>1000</v>
      </c>
      <c r="H21" s="123">
        <v>1000</v>
      </c>
      <c r="I21" s="123">
        <v>1000</v>
      </c>
      <c r="J21" s="123">
        <v>1000</v>
      </c>
      <c r="K21" s="123">
        <v>1000</v>
      </c>
      <c r="L21" s="123">
        <v>1000</v>
      </c>
      <c r="M21" s="123">
        <v>1000</v>
      </c>
      <c r="N21" s="123">
        <v>700</v>
      </c>
      <c r="O21" s="123">
        <v>700</v>
      </c>
      <c r="P21" s="204">
        <f t="shared" si="5"/>
        <v>11400</v>
      </c>
      <c r="Q21" s="118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3:28" x14ac:dyDescent="0.2">
      <c r="C22" s="107" t="s">
        <v>114</v>
      </c>
      <c r="D22" s="123">
        <v>500</v>
      </c>
      <c r="E22" s="123">
        <v>500</v>
      </c>
      <c r="F22" s="123">
        <v>500</v>
      </c>
      <c r="G22" s="123">
        <v>500</v>
      </c>
      <c r="H22" s="123">
        <v>500</v>
      </c>
      <c r="I22" s="123">
        <v>500</v>
      </c>
      <c r="J22" s="123">
        <v>500</v>
      </c>
      <c r="K22" s="123">
        <v>500</v>
      </c>
      <c r="L22" s="123">
        <v>500</v>
      </c>
      <c r="M22" s="123">
        <v>500</v>
      </c>
      <c r="N22" s="123">
        <v>500</v>
      </c>
      <c r="O22" s="123">
        <v>500</v>
      </c>
      <c r="P22" s="204">
        <f t="shared" si="5"/>
        <v>6000</v>
      </c>
      <c r="Q22" s="118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3:28" x14ac:dyDescent="0.2">
      <c r="C23" s="107" t="s">
        <v>115</v>
      </c>
      <c r="D23" s="123">
        <v>200</v>
      </c>
      <c r="E23" s="123">
        <v>200</v>
      </c>
      <c r="F23" s="123">
        <v>200</v>
      </c>
      <c r="G23" s="123">
        <v>200</v>
      </c>
      <c r="H23" s="123">
        <v>200</v>
      </c>
      <c r="I23" s="123">
        <v>100</v>
      </c>
      <c r="J23" s="123">
        <v>100</v>
      </c>
      <c r="K23" s="123">
        <v>100</v>
      </c>
      <c r="L23" s="123">
        <v>100</v>
      </c>
      <c r="M23" s="123">
        <v>100</v>
      </c>
      <c r="N23" s="123">
        <v>100</v>
      </c>
      <c r="O23" s="123">
        <v>100</v>
      </c>
      <c r="P23" s="204">
        <f t="shared" si="5"/>
        <v>1700</v>
      </c>
      <c r="Q23" s="11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3:28" x14ac:dyDescent="0.2">
      <c r="C24" s="107" t="s">
        <v>116</v>
      </c>
      <c r="D24" s="123">
        <v>300</v>
      </c>
      <c r="E24" s="123">
        <v>300</v>
      </c>
      <c r="F24" s="123">
        <v>200</v>
      </c>
      <c r="G24" s="123">
        <v>200</v>
      </c>
      <c r="H24" s="123">
        <v>200</v>
      </c>
      <c r="I24" s="123">
        <v>200</v>
      </c>
      <c r="J24" s="123">
        <v>200</v>
      </c>
      <c r="K24" s="123">
        <v>200</v>
      </c>
      <c r="L24" s="123">
        <v>200</v>
      </c>
      <c r="M24" s="123">
        <v>200</v>
      </c>
      <c r="N24" s="123">
        <v>200</v>
      </c>
      <c r="O24" s="123">
        <v>200</v>
      </c>
      <c r="P24" s="204">
        <f t="shared" si="5"/>
        <v>2600</v>
      </c>
      <c r="Q24" s="11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3:28" x14ac:dyDescent="0.2">
      <c r="C25" s="124" t="s">
        <v>121</v>
      </c>
      <c r="D25" s="97">
        <f>+D15*$T$2</f>
        <v>12.102259701492537</v>
      </c>
      <c r="E25" s="97">
        <f t="shared" ref="E25:O25" si="6">+E15*$T$2</f>
        <v>36.200579104477605</v>
      </c>
      <c r="F25" s="97">
        <f t="shared" si="6"/>
        <v>60.245798507462681</v>
      </c>
      <c r="G25" s="97">
        <f t="shared" si="6"/>
        <v>90.501447761194015</v>
      </c>
      <c r="H25" s="97">
        <f t="shared" si="6"/>
        <v>120.75709701492536</v>
      </c>
      <c r="I25" s="97">
        <f t="shared" si="6"/>
        <v>157.01077611940298</v>
      </c>
      <c r="J25" s="97">
        <f t="shared" si="6"/>
        <v>181.00289552238803</v>
      </c>
      <c r="K25" s="97">
        <f t="shared" si="6"/>
        <v>204.99501492537311</v>
      </c>
      <c r="L25" s="97">
        <f t="shared" si="6"/>
        <v>241.08939402985072</v>
      </c>
      <c r="M25" s="97">
        <f t="shared" si="6"/>
        <v>277.18377313432836</v>
      </c>
      <c r="N25" s="97">
        <f t="shared" si="6"/>
        <v>289.49843283582089</v>
      </c>
      <c r="O25" s="97">
        <f t="shared" si="6"/>
        <v>301.60069253731342</v>
      </c>
      <c r="P25" s="204">
        <f t="shared" si="5"/>
        <v>1972.1881611940298</v>
      </c>
      <c r="Q25" s="118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3:28" x14ac:dyDescent="0.2">
      <c r="C26" s="124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07"/>
      <c r="Q26" s="118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3:28" x14ac:dyDescent="0.2">
      <c r="C27" s="125" t="s">
        <v>122</v>
      </c>
      <c r="D27" s="167">
        <f t="shared" ref="D27:O27" si="7">SUM(D20:D25)</f>
        <v>2512.1022597014926</v>
      </c>
      <c r="E27" s="167">
        <f t="shared" si="7"/>
        <v>2536.2005791044776</v>
      </c>
      <c r="F27" s="167">
        <f t="shared" si="7"/>
        <v>2460.2457985074625</v>
      </c>
      <c r="G27" s="167">
        <f t="shared" si="7"/>
        <v>2490.501447761194</v>
      </c>
      <c r="H27" s="167">
        <f t="shared" si="7"/>
        <v>2520.7570970149254</v>
      </c>
      <c r="I27" s="167">
        <f t="shared" si="7"/>
        <v>2457.0107761194031</v>
      </c>
      <c r="J27" s="167">
        <f t="shared" si="7"/>
        <v>2481.0028955223879</v>
      </c>
      <c r="K27" s="167">
        <f t="shared" si="7"/>
        <v>2254.9950149253732</v>
      </c>
      <c r="L27" s="167">
        <f t="shared" si="7"/>
        <v>2291.0893940298506</v>
      </c>
      <c r="M27" s="167">
        <f t="shared" si="7"/>
        <v>2327.1837731343285</v>
      </c>
      <c r="N27" s="167">
        <f t="shared" si="7"/>
        <v>2039.4984328358209</v>
      </c>
      <c r="O27" s="167">
        <f t="shared" si="7"/>
        <v>2001.6006925373135</v>
      </c>
      <c r="P27" s="167">
        <f>+SUM(D27:O27)</f>
        <v>28372.188161194037</v>
      </c>
      <c r="Q27" s="118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3:28" x14ac:dyDescent="0.2">
      <c r="C28" s="125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07"/>
      <c r="Q28" s="11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3:28" x14ac:dyDescent="0.2">
      <c r="C29" s="126" t="s">
        <v>123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1"/>
      <c r="Q29" s="118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3:28" x14ac:dyDescent="0.2">
      <c r="C30" s="124" t="s">
        <v>103</v>
      </c>
      <c r="D30" s="97">
        <v>2000</v>
      </c>
      <c r="E30" s="97">
        <f>+D30</f>
        <v>2000</v>
      </c>
      <c r="F30" s="97">
        <f t="shared" ref="F30:O30" si="8">+E30</f>
        <v>2000</v>
      </c>
      <c r="G30" s="97">
        <f t="shared" si="8"/>
        <v>2000</v>
      </c>
      <c r="H30" s="97">
        <f t="shared" si="8"/>
        <v>2000</v>
      </c>
      <c r="I30" s="97">
        <f t="shared" si="8"/>
        <v>2000</v>
      </c>
      <c r="J30" s="97">
        <f t="shared" si="8"/>
        <v>2000</v>
      </c>
      <c r="K30" s="97">
        <f t="shared" si="8"/>
        <v>2000</v>
      </c>
      <c r="L30" s="97">
        <f t="shared" si="8"/>
        <v>2000</v>
      </c>
      <c r="M30" s="97">
        <f t="shared" si="8"/>
        <v>2000</v>
      </c>
      <c r="N30" s="97">
        <f t="shared" si="8"/>
        <v>2000</v>
      </c>
      <c r="O30" s="97">
        <f t="shared" si="8"/>
        <v>2000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3:28" x14ac:dyDescent="0.2">
      <c r="C31" s="125" t="s">
        <v>65</v>
      </c>
      <c r="D31" s="144">
        <f>+D30</f>
        <v>2000</v>
      </c>
      <c r="E31" s="144">
        <f t="shared" ref="E31:O31" si="9">+E30</f>
        <v>2000</v>
      </c>
      <c r="F31" s="144">
        <f t="shared" si="9"/>
        <v>2000</v>
      </c>
      <c r="G31" s="144">
        <f t="shared" si="9"/>
        <v>2000</v>
      </c>
      <c r="H31" s="144">
        <f t="shared" si="9"/>
        <v>2000</v>
      </c>
      <c r="I31" s="144">
        <f t="shared" si="9"/>
        <v>2000</v>
      </c>
      <c r="J31" s="144">
        <f t="shared" si="9"/>
        <v>2000</v>
      </c>
      <c r="K31" s="144">
        <f t="shared" si="9"/>
        <v>2000</v>
      </c>
      <c r="L31" s="144">
        <f t="shared" si="9"/>
        <v>2000</v>
      </c>
      <c r="M31" s="144">
        <f t="shared" si="9"/>
        <v>2000</v>
      </c>
      <c r="N31" s="144">
        <f t="shared" si="9"/>
        <v>2000</v>
      </c>
      <c r="O31" s="144">
        <f t="shared" si="9"/>
        <v>2000</v>
      </c>
      <c r="P31" s="107"/>
      <c r="Q31" s="118"/>
      <c r="R31" s="107"/>
      <c r="S31" s="118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3:28" x14ac:dyDescent="0.2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3:28" x14ac:dyDescent="0.2">
      <c r="C33" s="125" t="s">
        <v>104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3:28" x14ac:dyDescent="0.2">
      <c r="C34" s="107" t="s">
        <v>105</v>
      </c>
      <c r="D34" s="123">
        <v>150</v>
      </c>
      <c r="E34" s="97">
        <v>150</v>
      </c>
      <c r="F34" s="97">
        <v>150</v>
      </c>
      <c r="G34" s="97">
        <v>150</v>
      </c>
      <c r="H34" s="97">
        <v>150</v>
      </c>
      <c r="I34" s="97">
        <v>150</v>
      </c>
      <c r="J34" s="97">
        <v>150</v>
      </c>
      <c r="K34" s="97">
        <v>150</v>
      </c>
      <c r="L34" s="97">
        <v>150</v>
      </c>
      <c r="M34" s="97">
        <v>150</v>
      </c>
      <c r="N34" s="97">
        <v>150</v>
      </c>
      <c r="O34" s="97">
        <v>150</v>
      </c>
      <c r="P34" s="107"/>
      <c r="Q34" s="118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3:28" x14ac:dyDescent="0.2">
      <c r="C35" s="107" t="s">
        <v>113</v>
      </c>
      <c r="D35" s="123">
        <v>1000</v>
      </c>
      <c r="E35" s="123">
        <v>1000</v>
      </c>
      <c r="F35" s="123">
        <v>1000</v>
      </c>
      <c r="G35" s="123">
        <v>1000</v>
      </c>
      <c r="H35" s="123">
        <v>1000</v>
      </c>
      <c r="I35" s="123">
        <v>1000</v>
      </c>
      <c r="J35" s="123">
        <v>1000</v>
      </c>
      <c r="K35" s="123">
        <v>1000</v>
      </c>
      <c r="L35" s="123">
        <v>1000</v>
      </c>
      <c r="M35" s="123">
        <v>1000</v>
      </c>
      <c r="N35" s="123">
        <v>1000</v>
      </c>
      <c r="O35" s="123">
        <v>1000</v>
      </c>
      <c r="P35" s="107"/>
      <c r="Q35" s="118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3:28" x14ac:dyDescent="0.2">
      <c r="C36" s="125" t="s">
        <v>65</v>
      </c>
      <c r="D36" s="144">
        <f t="shared" ref="D36:O36" si="10">SUM(D34:D35)</f>
        <v>1150</v>
      </c>
      <c r="E36" s="144">
        <f t="shared" si="10"/>
        <v>1150</v>
      </c>
      <c r="F36" s="144">
        <f t="shared" si="10"/>
        <v>1150</v>
      </c>
      <c r="G36" s="144">
        <f t="shared" si="10"/>
        <v>1150</v>
      </c>
      <c r="H36" s="144">
        <f t="shared" si="10"/>
        <v>1150</v>
      </c>
      <c r="I36" s="144">
        <f t="shared" si="10"/>
        <v>1150</v>
      </c>
      <c r="J36" s="144">
        <f t="shared" si="10"/>
        <v>1150</v>
      </c>
      <c r="K36" s="144">
        <f t="shared" si="10"/>
        <v>1150</v>
      </c>
      <c r="L36" s="144">
        <f t="shared" si="10"/>
        <v>1150</v>
      </c>
      <c r="M36" s="144">
        <f t="shared" si="10"/>
        <v>1150</v>
      </c>
      <c r="N36" s="144">
        <f t="shared" si="10"/>
        <v>1150</v>
      </c>
      <c r="O36" s="144">
        <f t="shared" si="10"/>
        <v>1150</v>
      </c>
      <c r="P36" s="107"/>
      <c r="Q36" s="118"/>
      <c r="R36" s="107"/>
      <c r="S36" s="118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3:28" x14ac:dyDescent="0.2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3:28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18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3:28" x14ac:dyDescent="0.2">
      <c r="C39" s="125" t="s">
        <v>124</v>
      </c>
      <c r="D39" s="166">
        <f>+D31+D36</f>
        <v>3150</v>
      </c>
      <c r="E39" s="166">
        <f t="shared" ref="E39:O39" si="11">+E31+E36</f>
        <v>3150</v>
      </c>
      <c r="F39" s="166">
        <f t="shared" si="11"/>
        <v>3150</v>
      </c>
      <c r="G39" s="166">
        <f t="shared" si="11"/>
        <v>3150</v>
      </c>
      <c r="H39" s="166">
        <f t="shared" si="11"/>
        <v>3150</v>
      </c>
      <c r="I39" s="166">
        <f t="shared" si="11"/>
        <v>3150</v>
      </c>
      <c r="J39" s="166">
        <f t="shared" si="11"/>
        <v>3150</v>
      </c>
      <c r="K39" s="166">
        <f t="shared" si="11"/>
        <v>3150</v>
      </c>
      <c r="L39" s="166">
        <f t="shared" si="11"/>
        <v>3150</v>
      </c>
      <c r="M39" s="166">
        <f t="shared" si="11"/>
        <v>3150</v>
      </c>
      <c r="N39" s="166">
        <f t="shared" si="11"/>
        <v>3150</v>
      </c>
      <c r="O39" s="166">
        <f t="shared" si="11"/>
        <v>3150</v>
      </c>
      <c r="P39" s="167">
        <f>+SUM(D39:O39)</f>
        <v>37800</v>
      </c>
      <c r="Q39" s="118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3:28" x14ac:dyDescent="0.2">
      <c r="C40" s="125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07"/>
      <c r="Q40" s="118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3:28" x14ac:dyDescent="0.2">
      <c r="C41" s="129" t="s">
        <v>125</v>
      </c>
      <c r="D41" s="166">
        <f t="shared" ref="D41:O41" si="12">D39+D27</f>
        <v>5662.1022597014926</v>
      </c>
      <c r="E41" s="166">
        <f t="shared" si="12"/>
        <v>5686.2005791044776</v>
      </c>
      <c r="F41" s="166">
        <f t="shared" si="12"/>
        <v>5610.2457985074625</v>
      </c>
      <c r="G41" s="166">
        <f t="shared" si="12"/>
        <v>5640.501447761194</v>
      </c>
      <c r="H41" s="166">
        <f t="shared" si="12"/>
        <v>5670.7570970149254</v>
      </c>
      <c r="I41" s="166">
        <f t="shared" si="12"/>
        <v>5607.0107761194031</v>
      </c>
      <c r="J41" s="166">
        <f t="shared" si="12"/>
        <v>5631.0028955223879</v>
      </c>
      <c r="K41" s="166">
        <f t="shared" si="12"/>
        <v>5404.9950149253727</v>
      </c>
      <c r="L41" s="166">
        <f t="shared" si="12"/>
        <v>5441.0893940298502</v>
      </c>
      <c r="M41" s="166">
        <f t="shared" si="12"/>
        <v>5477.1837731343285</v>
      </c>
      <c r="N41" s="166">
        <f t="shared" si="12"/>
        <v>5189.4984328358205</v>
      </c>
      <c r="O41" s="166">
        <f t="shared" si="12"/>
        <v>5151.6006925373131</v>
      </c>
      <c r="P41" s="167">
        <f>+SUM(D41:O41)</f>
        <v>66172.188161194019</v>
      </c>
      <c r="Q41" s="118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</row>
    <row r="42" spans="3:28" x14ac:dyDescent="0.2">
      <c r="C42" s="128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07"/>
      <c r="Q42" s="118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3:28" x14ac:dyDescent="0.2">
      <c r="C43" s="129" t="s">
        <v>126</v>
      </c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18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</row>
    <row r="44" spans="3:28" x14ac:dyDescent="0.2">
      <c r="C44" s="125" t="s">
        <v>126</v>
      </c>
      <c r="D44" s="97">
        <f t="shared" ref="D44:O44" si="13">D15-D41</f>
        <v>-5258.6936029850749</v>
      </c>
      <c r="E44" s="97">
        <f t="shared" si="13"/>
        <v>-4479.5146089552236</v>
      </c>
      <c r="F44" s="97">
        <f t="shared" si="13"/>
        <v>-3602.0525149253731</v>
      </c>
      <c r="G44" s="97">
        <f t="shared" si="13"/>
        <v>-2623.7865223880599</v>
      </c>
      <c r="H44" s="97">
        <f t="shared" si="13"/>
        <v>-1645.5205298507462</v>
      </c>
      <c r="I44" s="97">
        <f t="shared" si="13"/>
        <v>-373.3182388059704</v>
      </c>
      <c r="J44" s="97">
        <f t="shared" si="13"/>
        <v>402.42695522388021</v>
      </c>
      <c r="K44" s="97">
        <f t="shared" si="13"/>
        <v>1428.1721492537308</v>
      </c>
      <c r="L44" s="97">
        <f t="shared" si="13"/>
        <v>2595.2237402985074</v>
      </c>
      <c r="M44" s="97">
        <f t="shared" si="13"/>
        <v>3762.2753313432831</v>
      </c>
      <c r="N44" s="97">
        <f t="shared" si="13"/>
        <v>4460.4493283582087</v>
      </c>
      <c r="O44" s="97">
        <f t="shared" si="13"/>
        <v>4901.7557253731338</v>
      </c>
      <c r="P44" s="143">
        <f>+SUM(D44:O44)</f>
        <v>-432.58278805970804</v>
      </c>
      <c r="Q44" s="118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3:28" x14ac:dyDescent="0.2"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</row>
    <row r="46" spans="3:28" x14ac:dyDescent="0.2"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</row>
    <row r="47" spans="3:28" x14ac:dyDescent="0.2">
      <c r="C47" s="129" t="s">
        <v>127</v>
      </c>
      <c r="D47" s="13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3:28" x14ac:dyDescent="0.2">
      <c r="C48" s="107" t="s">
        <v>117</v>
      </c>
      <c r="D48" s="97">
        <f>+SUM(D15:O15)</f>
        <v>65739.605373134327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</row>
    <row r="49" spans="2:28" x14ac:dyDescent="0.2">
      <c r="C49" s="107" t="s">
        <v>133</v>
      </c>
      <c r="D49" s="120">
        <f>+SUM(D11:O11)</f>
        <v>1635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2:28" x14ac:dyDescent="0.2">
      <c r="C50" s="121" t="s">
        <v>128</v>
      </c>
      <c r="D50" s="119">
        <f>+SUM(D41:O41)</f>
        <v>66172.188161194019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2:28" x14ac:dyDescent="0.2">
      <c r="C51" s="107" t="s">
        <v>126</v>
      </c>
      <c r="D51" s="143">
        <f>+SUM(D44:O44)</f>
        <v>-432.58278805970804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2:28" x14ac:dyDescent="0.2"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</row>
    <row r="53" spans="2:28" x14ac:dyDescent="0.2"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</row>
    <row r="54" spans="2:28" customFormat="1" ht="25" x14ac:dyDescent="0.2">
      <c r="B54" s="132" t="s">
        <v>199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13"/>
    </row>
    <row r="55" spans="2:28" x14ac:dyDescent="0.2"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x14ac:dyDescent="0.2">
      <c r="C56" s="107"/>
      <c r="D56" s="111">
        <v>1</v>
      </c>
      <c r="E56" s="111">
        <v>2</v>
      </c>
      <c r="F56" s="111">
        <v>3</v>
      </c>
      <c r="G56" s="111">
        <v>4</v>
      </c>
      <c r="H56" s="111">
        <v>5</v>
      </c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2:28" x14ac:dyDescent="0.2">
      <c r="C57" s="148" t="s">
        <v>117</v>
      </c>
      <c r="D57" s="149"/>
      <c r="E57" s="150"/>
      <c r="F57" s="149"/>
      <c r="G57" s="149"/>
      <c r="H57" s="149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x14ac:dyDescent="0.2">
      <c r="C58" s="107" t="s">
        <v>134</v>
      </c>
      <c r="D58" s="97">
        <f>+'Estimación de demanda'!P43</f>
        <v>65739.605373134327</v>
      </c>
      <c r="E58" s="97">
        <f>+'Estimación de demanda'!Q43</f>
        <v>145881.11094179103</v>
      </c>
      <c r="F58" s="97">
        <f>+'Estimación de demanda'!R43</f>
        <v>336941.19588358211</v>
      </c>
      <c r="G58" s="203">
        <f>+'Estimación de demanda'!S43</f>
        <v>438023.55464865669</v>
      </c>
      <c r="H58" s="203">
        <f>+'Estimación de demanda'!T43</f>
        <v>613232.97650811938</v>
      </c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x14ac:dyDescent="0.2">
      <c r="C59" s="107" t="s">
        <v>133</v>
      </c>
      <c r="D59" s="120">
        <f>+'Estimación de demanda'!P22</f>
        <v>1635</v>
      </c>
      <c r="E59" s="120">
        <f>+'Estimación de demanda'!Q22</f>
        <v>4905</v>
      </c>
      <c r="F59" s="120">
        <f>+'Estimación de demanda'!R22</f>
        <v>9810</v>
      </c>
      <c r="G59" s="120">
        <f>+'Estimación de demanda'!S22</f>
        <v>12753</v>
      </c>
      <c r="H59" s="120">
        <f>+'Estimación de demanda'!T22</f>
        <v>17854.2</v>
      </c>
      <c r="I59" s="135"/>
      <c r="J59" s="135"/>
      <c r="K59" s="135"/>
      <c r="L59" s="135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x14ac:dyDescent="0.2">
      <c r="C60" s="111" t="s">
        <v>118</v>
      </c>
      <c r="D60" s="143">
        <f>+D58</f>
        <v>65739.605373134327</v>
      </c>
      <c r="E60" s="143">
        <f>+E58</f>
        <v>145881.11094179103</v>
      </c>
      <c r="F60" s="143">
        <f>+F58</f>
        <v>336941.19588358211</v>
      </c>
      <c r="G60" s="143">
        <f>+G58</f>
        <v>438023.55464865669</v>
      </c>
      <c r="H60" s="143">
        <f>+H58</f>
        <v>613232.97650811938</v>
      </c>
      <c r="I60" s="135"/>
      <c r="J60" s="135"/>
      <c r="K60" s="135"/>
      <c r="L60" s="135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x14ac:dyDescent="0.2">
      <c r="C61" s="107"/>
      <c r="D61" s="97"/>
      <c r="E61" s="107"/>
      <c r="F61" s="107"/>
      <c r="G61" s="107"/>
      <c r="H61" s="135"/>
      <c r="I61" s="135"/>
      <c r="J61" s="135"/>
      <c r="K61" s="135"/>
      <c r="L61" s="135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x14ac:dyDescent="0.2">
      <c r="C62" s="148" t="s">
        <v>129</v>
      </c>
      <c r="D62" s="149"/>
      <c r="E62" s="150"/>
      <c r="F62" s="149"/>
      <c r="G62" s="149"/>
      <c r="H62" s="149"/>
      <c r="I62" s="135"/>
      <c r="J62" s="135"/>
      <c r="K62" s="135"/>
      <c r="L62" s="135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x14ac:dyDescent="0.2">
      <c r="C63" s="107" t="s">
        <v>136</v>
      </c>
      <c r="D63" s="172">
        <f>+SUM(D20:O20)</f>
        <v>4700</v>
      </c>
      <c r="E63" s="172">
        <f>+D63+(D63*10%)</f>
        <v>5170</v>
      </c>
      <c r="F63" s="172">
        <f>E63</f>
        <v>5170</v>
      </c>
      <c r="G63" s="172">
        <f>F63/2</f>
        <v>2585</v>
      </c>
      <c r="H63" s="172">
        <f t="shared" ref="H63" si="14">G63</f>
        <v>2585</v>
      </c>
      <c r="I63" s="135"/>
      <c r="J63" s="135"/>
      <c r="K63" s="135"/>
      <c r="L63" s="135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x14ac:dyDescent="0.2">
      <c r="C64" s="107" t="s">
        <v>106</v>
      </c>
      <c r="D64" s="172">
        <f>+SUM(D21:O24)</f>
        <v>21700</v>
      </c>
      <c r="E64" s="172">
        <f>+D64+D64*5%</f>
        <v>22785</v>
      </c>
      <c r="F64" s="172">
        <f>+E64</f>
        <v>22785</v>
      </c>
      <c r="G64" s="172">
        <f>+F64</f>
        <v>22785</v>
      </c>
      <c r="H64" s="172">
        <f>+G64</f>
        <v>22785</v>
      </c>
      <c r="I64" s="315"/>
      <c r="J64" s="135"/>
      <c r="K64" s="135"/>
      <c r="L64" s="135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3:28" x14ac:dyDescent="0.2">
      <c r="C65" s="107" t="s">
        <v>83</v>
      </c>
      <c r="D65" s="172">
        <f>+SUM(D30:O30)</f>
        <v>24000</v>
      </c>
      <c r="E65" s="172">
        <f>D65+D65*5%</f>
        <v>25200</v>
      </c>
      <c r="F65" s="172">
        <f>E65</f>
        <v>25200</v>
      </c>
      <c r="G65" s="172">
        <f>F65+F65*5%</f>
        <v>26460</v>
      </c>
      <c r="H65" s="172">
        <f>G65</f>
        <v>26460</v>
      </c>
      <c r="I65" s="315"/>
      <c r="J65" s="135"/>
      <c r="K65" s="135"/>
      <c r="L65" s="135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3:28" x14ac:dyDescent="0.2">
      <c r="C66" s="107" t="s">
        <v>105</v>
      </c>
      <c r="D66" s="172">
        <f>+SUM(D34:O34)</f>
        <v>1800</v>
      </c>
      <c r="E66" s="172">
        <v>1800</v>
      </c>
      <c r="F66" s="172">
        <v>1800</v>
      </c>
      <c r="G66" s="172">
        <v>1800</v>
      </c>
      <c r="H66" s="172">
        <v>1800</v>
      </c>
      <c r="I66" s="315"/>
      <c r="J66" s="135"/>
      <c r="K66" s="135"/>
      <c r="L66" s="135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3:28" x14ac:dyDescent="0.2">
      <c r="C67" s="107" t="s">
        <v>113</v>
      </c>
      <c r="D67" s="172">
        <f>+SUM(D35:O35)</f>
        <v>12000</v>
      </c>
      <c r="E67" s="172">
        <f>D67+D67*$K$67</f>
        <v>12000</v>
      </c>
      <c r="F67" s="172">
        <f>E67+E67*$K$67</f>
        <v>12000</v>
      </c>
      <c r="G67" s="172">
        <f>F67+F67*$K$67</f>
        <v>12000</v>
      </c>
      <c r="H67" s="172">
        <f>G67+G67*$K$67</f>
        <v>12000</v>
      </c>
      <c r="I67" s="315"/>
      <c r="J67" s="135"/>
      <c r="K67" s="154"/>
      <c r="L67" s="135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3:28" x14ac:dyDescent="0.2">
      <c r="C68" s="107" t="s">
        <v>121</v>
      </c>
      <c r="D68" s="172">
        <f>+D58*$T$2</f>
        <v>1972.1881611940298</v>
      </c>
      <c r="E68" s="172">
        <f>+E60*3%</f>
        <v>4376.4333282537309</v>
      </c>
      <c r="F68" s="172">
        <f>+F60*3%</f>
        <v>10108.235876507462</v>
      </c>
      <c r="G68" s="172">
        <f t="shared" ref="G68:H68" si="15">+G60*3%</f>
        <v>13140.7066394597</v>
      </c>
      <c r="H68" s="172">
        <f t="shared" si="15"/>
        <v>18396.98929524358</v>
      </c>
      <c r="I68" s="315"/>
      <c r="J68" s="135"/>
      <c r="K68" s="154"/>
      <c r="L68" s="13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</row>
    <row r="69" spans="3:28" x14ac:dyDescent="0.2">
      <c r="C69" s="107"/>
      <c r="D69" s="173"/>
      <c r="E69" s="173"/>
      <c r="F69" s="173"/>
      <c r="G69" s="107"/>
      <c r="H69" s="135"/>
      <c r="I69" s="135"/>
      <c r="J69" s="135"/>
      <c r="K69" s="135"/>
      <c r="L69" s="135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</row>
    <row r="70" spans="3:28" x14ac:dyDescent="0.2">
      <c r="C70" s="111" t="s">
        <v>130</v>
      </c>
      <c r="D70" s="174">
        <f>+SUM(D63:D68)</f>
        <v>66172.188161194033</v>
      </c>
      <c r="E70" s="174">
        <f t="shared" ref="E70:H70" si="16">+SUM(E63:E68)</f>
        <v>71331.433328253726</v>
      </c>
      <c r="F70" s="174">
        <f t="shared" si="16"/>
        <v>77063.23587650746</v>
      </c>
      <c r="G70" s="174">
        <f t="shared" si="16"/>
        <v>78770.706639459706</v>
      </c>
      <c r="H70" s="174">
        <f t="shared" si="16"/>
        <v>84026.989295243577</v>
      </c>
      <c r="I70" s="135"/>
      <c r="J70" s="135"/>
      <c r="K70" s="135"/>
      <c r="L70" s="135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</row>
    <row r="71" spans="3:28" x14ac:dyDescent="0.2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</row>
    <row r="72" spans="3:28" x14ac:dyDescent="0.2">
      <c r="C72" s="148" t="s">
        <v>126</v>
      </c>
      <c r="D72" s="149"/>
      <c r="E72" s="150"/>
      <c r="F72" s="149"/>
      <c r="G72" s="149"/>
      <c r="H72" s="149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</row>
    <row r="73" spans="3:28" x14ac:dyDescent="0.2">
      <c r="C73" s="111" t="s">
        <v>126</v>
      </c>
      <c r="D73" s="143">
        <f>D60-D70</f>
        <v>-432.58278805970622</v>
      </c>
      <c r="E73" s="143">
        <f t="shared" ref="E73:H73" si="17">E60-E70</f>
        <v>74549.677613537307</v>
      </c>
      <c r="F73" s="143">
        <f t="shared" si="17"/>
        <v>259877.96000707464</v>
      </c>
      <c r="G73" s="143">
        <f t="shared" si="17"/>
        <v>359252.84800919698</v>
      </c>
      <c r="H73" s="143">
        <f t="shared" si="17"/>
        <v>529205.98721287586</v>
      </c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</row>
    <row r="74" spans="3:28" x14ac:dyDescent="0.2"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</row>
    <row r="75" spans="3:28" x14ac:dyDescent="0.2">
      <c r="C75" s="145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</row>
    <row r="76" spans="3:28" x14ac:dyDescent="0.2">
      <c r="C76" s="145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</row>
    <row r="77" spans="3:28" x14ac:dyDescent="0.2">
      <c r="C77" s="146" t="s">
        <v>131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</row>
    <row r="78" spans="3:28" x14ac:dyDescent="0.2">
      <c r="C78" s="107" t="s">
        <v>137</v>
      </c>
      <c r="D78" s="107"/>
      <c r="E78" s="107"/>
      <c r="F78" s="107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</row>
    <row r="79" spans="3:28" x14ac:dyDescent="0.2">
      <c r="C79" s="107" t="s">
        <v>138</v>
      </c>
      <c r="D79" s="107"/>
      <c r="E79" s="107"/>
      <c r="F79" s="107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</row>
    <row r="80" spans="3:28" x14ac:dyDescent="0.2">
      <c r="C80" s="107" t="s">
        <v>139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</row>
    <row r="81" spans="3:17" x14ac:dyDescent="0.2"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</row>
    <row r="82" spans="3:17" x14ac:dyDescent="0.2"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</row>
    <row r="83" spans="3:17" x14ac:dyDescent="0.2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</row>
    <row r="84" spans="3:17" x14ac:dyDescent="0.2"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  <row r="85" spans="3:17" x14ac:dyDescent="0.2">
      <c r="C85" s="147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</row>
    <row r="86" spans="3:17" x14ac:dyDescent="0.2">
      <c r="C86" s="147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</row>
    <row r="87" spans="3:17" x14ac:dyDescent="0.2"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</row>
    <row r="88" spans="3:17" x14ac:dyDescent="0.2"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3:17" x14ac:dyDescent="0.2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</row>
    <row r="90" spans="3:17" x14ac:dyDescent="0.2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3:17" x14ac:dyDescent="0.2"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</row>
    <row r="92" spans="3:17" x14ac:dyDescent="0.2"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</row>
    <row r="93" spans="3:17" x14ac:dyDescent="0.2"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</row>
    <row r="94" spans="3:17" x14ac:dyDescent="0.2"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</row>
    <row r="95" spans="3:17" x14ac:dyDescent="0.2"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</row>
    <row r="96" spans="3:17" x14ac:dyDescent="0.2"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</row>
    <row r="97" spans="3:17" x14ac:dyDescent="0.2"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</row>
    <row r="98" spans="3:17" x14ac:dyDescent="0.2"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</row>
    <row r="99" spans="3:17" x14ac:dyDescent="0.2"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</row>
    <row r="100" spans="3:17" x14ac:dyDescent="0.2"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</row>
    <row r="101" spans="3:17" x14ac:dyDescent="0.2"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</row>
    <row r="102" spans="3:17" x14ac:dyDescent="0.2"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</row>
    <row r="103" spans="3:17" x14ac:dyDescent="0.2"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</row>
    <row r="104" spans="3:17" x14ac:dyDescent="0.2"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</row>
    <row r="105" spans="3:17" x14ac:dyDescent="0.2"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</row>
    <row r="106" spans="3:17" x14ac:dyDescent="0.2"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</row>
    <row r="107" spans="3:17" x14ac:dyDescent="0.2"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</row>
    <row r="108" spans="3:17" x14ac:dyDescent="0.2"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</row>
    <row r="109" spans="3:17" x14ac:dyDescent="0.2"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</row>
    <row r="110" spans="3:17" x14ac:dyDescent="0.2"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</row>
    <row r="111" spans="3:17" x14ac:dyDescent="0.2"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3:17" x14ac:dyDescent="0.2"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3:6" x14ac:dyDescent="0.2">
      <c r="C113" s="105"/>
      <c r="D113" s="105"/>
      <c r="E113" s="105"/>
      <c r="F113" s="105"/>
    </row>
    <row r="114" spans="3:6" x14ac:dyDescent="0.2">
      <c r="C114" s="105"/>
      <c r="D114" s="105"/>
      <c r="E114" s="105"/>
      <c r="F114" s="105"/>
    </row>
  </sheetData>
  <pageMargins left="0.7" right="0.7" top="0.75" bottom="0.75" header="0.3" footer="0.3"/>
  <ignoredErrors>
    <ignoredError sqref="F65:G65 F64 H64 G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1E0C8-9914-664D-BD58-C3F370BCB3FC}">
  <dimension ref="B2:V87"/>
  <sheetViews>
    <sheetView showGridLines="0" topLeftCell="A50" zoomScale="80" zoomScaleNormal="80" workbookViewId="0">
      <selection activeCell="H86" sqref="H86"/>
    </sheetView>
  </sheetViews>
  <sheetFormatPr baseColWidth="10" defaultRowHeight="16" x14ac:dyDescent="0.2"/>
  <cols>
    <col min="1" max="1" width="4.5" style="107" customWidth="1"/>
    <col min="2" max="2" width="3.1640625" style="107" customWidth="1"/>
    <col min="3" max="3" width="40.33203125" style="107" customWidth="1"/>
    <col min="4" max="4" width="14.5" style="107" customWidth="1"/>
    <col min="5" max="5" width="14.33203125" style="107" bestFit="1" customWidth="1"/>
    <col min="6" max="6" width="16.5" style="107" bestFit="1" customWidth="1"/>
    <col min="7" max="7" width="14.33203125" style="107" customWidth="1"/>
    <col min="8" max="8" width="18" style="107" bestFit="1" customWidth="1"/>
    <col min="9" max="9" width="15.33203125" style="107" bestFit="1" customWidth="1"/>
    <col min="10" max="10" width="11.1640625" style="107" customWidth="1"/>
    <col min="11" max="11" width="11.33203125" style="107" customWidth="1"/>
    <col min="12" max="12" width="12.6640625" style="107" bestFit="1" customWidth="1"/>
    <col min="13" max="13" width="11.5" style="107" customWidth="1"/>
    <col min="14" max="14" width="11" style="107" customWidth="1"/>
    <col min="15" max="15" width="11.1640625" style="107" customWidth="1"/>
    <col min="16" max="16" width="14.5" style="107" bestFit="1" customWidth="1"/>
    <col min="17" max="17" width="4.33203125" style="107" customWidth="1"/>
    <col min="18" max="18" width="10.83203125" style="107"/>
    <col min="19" max="19" width="12.5" style="107" bestFit="1" customWidth="1"/>
    <col min="20" max="20" width="10.83203125" style="107"/>
    <col min="21" max="21" width="11.6640625" style="107" bestFit="1" customWidth="1"/>
    <col min="22" max="257" width="10.83203125" style="107"/>
    <col min="258" max="258" width="3.1640625" style="107" customWidth="1"/>
    <col min="259" max="259" width="40.33203125" style="107" customWidth="1"/>
    <col min="260" max="260" width="11.1640625" style="107" customWidth="1"/>
    <col min="261" max="261" width="9.83203125" style="107" customWidth="1"/>
    <col min="262" max="262" width="11.6640625" style="107" bestFit="1" customWidth="1"/>
    <col min="263" max="263" width="9.5" style="107" customWidth="1"/>
    <col min="264" max="264" width="9.1640625" style="107" customWidth="1"/>
    <col min="265" max="265" width="8.6640625" style="107" customWidth="1"/>
    <col min="266" max="266" width="9.1640625" style="107" customWidth="1"/>
    <col min="267" max="268" width="9.33203125" style="107" customWidth="1"/>
    <col min="269" max="271" width="8.83203125" style="107" bestFit="1" customWidth="1"/>
    <col min="272" max="272" width="12.33203125" style="107" bestFit="1" customWidth="1"/>
    <col min="273" max="273" width="12.83203125" style="107" customWidth="1"/>
    <col min="274" max="274" width="10.83203125" style="107"/>
    <col min="275" max="275" width="12.5" style="107" bestFit="1" customWidth="1"/>
    <col min="276" max="276" width="10.83203125" style="107"/>
    <col min="277" max="277" width="11.5" style="107" bestFit="1" customWidth="1"/>
    <col min="278" max="513" width="10.83203125" style="107"/>
    <col min="514" max="514" width="3.1640625" style="107" customWidth="1"/>
    <col min="515" max="515" width="40.33203125" style="107" customWidth="1"/>
    <col min="516" max="516" width="11.1640625" style="107" customWidth="1"/>
    <col min="517" max="517" width="9.83203125" style="107" customWidth="1"/>
    <col min="518" max="518" width="11.6640625" style="107" bestFit="1" customWidth="1"/>
    <col min="519" max="519" width="9.5" style="107" customWidth="1"/>
    <col min="520" max="520" width="9.1640625" style="107" customWidth="1"/>
    <col min="521" max="521" width="8.6640625" style="107" customWidth="1"/>
    <col min="522" max="522" width="9.1640625" style="107" customWidth="1"/>
    <col min="523" max="524" width="9.33203125" style="107" customWidth="1"/>
    <col min="525" max="527" width="8.83203125" style="107" bestFit="1" customWidth="1"/>
    <col min="528" max="528" width="12.33203125" style="107" bestFit="1" customWidth="1"/>
    <col min="529" max="529" width="12.83203125" style="107" customWidth="1"/>
    <col min="530" max="530" width="10.83203125" style="107"/>
    <col min="531" max="531" width="12.5" style="107" bestFit="1" customWidth="1"/>
    <col min="532" max="532" width="10.83203125" style="107"/>
    <col min="533" max="533" width="11.5" style="107" bestFit="1" customWidth="1"/>
    <col min="534" max="769" width="10.83203125" style="107"/>
    <col min="770" max="770" width="3.1640625" style="107" customWidth="1"/>
    <col min="771" max="771" width="40.33203125" style="107" customWidth="1"/>
    <col min="772" max="772" width="11.1640625" style="107" customWidth="1"/>
    <col min="773" max="773" width="9.83203125" style="107" customWidth="1"/>
    <col min="774" max="774" width="11.6640625" style="107" bestFit="1" customWidth="1"/>
    <col min="775" max="775" width="9.5" style="107" customWidth="1"/>
    <col min="776" max="776" width="9.1640625" style="107" customWidth="1"/>
    <col min="777" max="777" width="8.6640625" style="107" customWidth="1"/>
    <col min="778" max="778" width="9.1640625" style="107" customWidth="1"/>
    <col min="779" max="780" width="9.33203125" style="107" customWidth="1"/>
    <col min="781" max="783" width="8.83203125" style="107" bestFit="1" customWidth="1"/>
    <col min="784" max="784" width="12.33203125" style="107" bestFit="1" customWidth="1"/>
    <col min="785" max="785" width="12.83203125" style="107" customWidth="1"/>
    <col min="786" max="786" width="10.83203125" style="107"/>
    <col min="787" max="787" width="12.5" style="107" bestFit="1" customWidth="1"/>
    <col min="788" max="788" width="10.83203125" style="107"/>
    <col min="789" max="789" width="11.5" style="107" bestFit="1" customWidth="1"/>
    <col min="790" max="1025" width="10.83203125" style="107"/>
    <col min="1026" max="1026" width="3.1640625" style="107" customWidth="1"/>
    <col min="1027" max="1027" width="40.33203125" style="107" customWidth="1"/>
    <col min="1028" max="1028" width="11.1640625" style="107" customWidth="1"/>
    <col min="1029" max="1029" width="9.83203125" style="107" customWidth="1"/>
    <col min="1030" max="1030" width="11.6640625" style="107" bestFit="1" customWidth="1"/>
    <col min="1031" max="1031" width="9.5" style="107" customWidth="1"/>
    <col min="1032" max="1032" width="9.1640625" style="107" customWidth="1"/>
    <col min="1033" max="1033" width="8.6640625" style="107" customWidth="1"/>
    <col min="1034" max="1034" width="9.1640625" style="107" customWidth="1"/>
    <col min="1035" max="1036" width="9.33203125" style="107" customWidth="1"/>
    <col min="1037" max="1039" width="8.83203125" style="107" bestFit="1" customWidth="1"/>
    <col min="1040" max="1040" width="12.33203125" style="107" bestFit="1" customWidth="1"/>
    <col min="1041" max="1041" width="12.83203125" style="107" customWidth="1"/>
    <col min="1042" max="1042" width="10.83203125" style="107"/>
    <col min="1043" max="1043" width="12.5" style="107" bestFit="1" customWidth="1"/>
    <col min="1044" max="1044" width="10.83203125" style="107"/>
    <col min="1045" max="1045" width="11.5" style="107" bestFit="1" customWidth="1"/>
    <col min="1046" max="1281" width="10.83203125" style="107"/>
    <col min="1282" max="1282" width="3.1640625" style="107" customWidth="1"/>
    <col min="1283" max="1283" width="40.33203125" style="107" customWidth="1"/>
    <col min="1284" max="1284" width="11.1640625" style="107" customWidth="1"/>
    <col min="1285" max="1285" width="9.83203125" style="107" customWidth="1"/>
    <col min="1286" max="1286" width="11.6640625" style="107" bestFit="1" customWidth="1"/>
    <col min="1287" max="1287" width="9.5" style="107" customWidth="1"/>
    <col min="1288" max="1288" width="9.1640625" style="107" customWidth="1"/>
    <col min="1289" max="1289" width="8.6640625" style="107" customWidth="1"/>
    <col min="1290" max="1290" width="9.1640625" style="107" customWidth="1"/>
    <col min="1291" max="1292" width="9.33203125" style="107" customWidth="1"/>
    <col min="1293" max="1295" width="8.83203125" style="107" bestFit="1" customWidth="1"/>
    <col min="1296" max="1296" width="12.33203125" style="107" bestFit="1" customWidth="1"/>
    <col min="1297" max="1297" width="12.83203125" style="107" customWidth="1"/>
    <col min="1298" max="1298" width="10.83203125" style="107"/>
    <col min="1299" max="1299" width="12.5" style="107" bestFit="1" customWidth="1"/>
    <col min="1300" max="1300" width="10.83203125" style="107"/>
    <col min="1301" max="1301" width="11.5" style="107" bestFit="1" customWidth="1"/>
    <col min="1302" max="1537" width="10.83203125" style="107"/>
    <col min="1538" max="1538" width="3.1640625" style="107" customWidth="1"/>
    <col min="1539" max="1539" width="40.33203125" style="107" customWidth="1"/>
    <col min="1540" max="1540" width="11.1640625" style="107" customWidth="1"/>
    <col min="1541" max="1541" width="9.83203125" style="107" customWidth="1"/>
    <col min="1542" max="1542" width="11.6640625" style="107" bestFit="1" customWidth="1"/>
    <col min="1543" max="1543" width="9.5" style="107" customWidth="1"/>
    <col min="1544" max="1544" width="9.1640625" style="107" customWidth="1"/>
    <col min="1545" max="1545" width="8.6640625" style="107" customWidth="1"/>
    <col min="1546" max="1546" width="9.1640625" style="107" customWidth="1"/>
    <col min="1547" max="1548" width="9.33203125" style="107" customWidth="1"/>
    <col min="1549" max="1551" width="8.83203125" style="107" bestFit="1" customWidth="1"/>
    <col min="1552" max="1552" width="12.33203125" style="107" bestFit="1" customWidth="1"/>
    <col min="1553" max="1553" width="12.83203125" style="107" customWidth="1"/>
    <col min="1554" max="1554" width="10.83203125" style="107"/>
    <col min="1555" max="1555" width="12.5" style="107" bestFit="1" customWidth="1"/>
    <col min="1556" max="1556" width="10.83203125" style="107"/>
    <col min="1557" max="1557" width="11.5" style="107" bestFit="1" customWidth="1"/>
    <col min="1558" max="1793" width="10.83203125" style="107"/>
    <col min="1794" max="1794" width="3.1640625" style="107" customWidth="1"/>
    <col min="1795" max="1795" width="40.33203125" style="107" customWidth="1"/>
    <col min="1796" max="1796" width="11.1640625" style="107" customWidth="1"/>
    <col min="1797" max="1797" width="9.83203125" style="107" customWidth="1"/>
    <col min="1798" max="1798" width="11.6640625" style="107" bestFit="1" customWidth="1"/>
    <col min="1799" max="1799" width="9.5" style="107" customWidth="1"/>
    <col min="1800" max="1800" width="9.1640625" style="107" customWidth="1"/>
    <col min="1801" max="1801" width="8.6640625" style="107" customWidth="1"/>
    <col min="1802" max="1802" width="9.1640625" style="107" customWidth="1"/>
    <col min="1803" max="1804" width="9.33203125" style="107" customWidth="1"/>
    <col min="1805" max="1807" width="8.83203125" style="107" bestFit="1" customWidth="1"/>
    <col min="1808" max="1808" width="12.33203125" style="107" bestFit="1" customWidth="1"/>
    <col min="1809" max="1809" width="12.83203125" style="107" customWidth="1"/>
    <col min="1810" max="1810" width="10.83203125" style="107"/>
    <col min="1811" max="1811" width="12.5" style="107" bestFit="1" customWidth="1"/>
    <col min="1812" max="1812" width="10.83203125" style="107"/>
    <col min="1813" max="1813" width="11.5" style="107" bestFit="1" customWidth="1"/>
    <col min="1814" max="2049" width="10.83203125" style="107"/>
    <col min="2050" max="2050" width="3.1640625" style="107" customWidth="1"/>
    <col min="2051" max="2051" width="40.33203125" style="107" customWidth="1"/>
    <col min="2052" max="2052" width="11.1640625" style="107" customWidth="1"/>
    <col min="2053" max="2053" width="9.83203125" style="107" customWidth="1"/>
    <col min="2054" max="2054" width="11.6640625" style="107" bestFit="1" customWidth="1"/>
    <col min="2055" max="2055" width="9.5" style="107" customWidth="1"/>
    <col min="2056" max="2056" width="9.1640625" style="107" customWidth="1"/>
    <col min="2057" max="2057" width="8.6640625" style="107" customWidth="1"/>
    <col min="2058" max="2058" width="9.1640625" style="107" customWidth="1"/>
    <col min="2059" max="2060" width="9.33203125" style="107" customWidth="1"/>
    <col min="2061" max="2063" width="8.83203125" style="107" bestFit="1" customWidth="1"/>
    <col min="2064" max="2064" width="12.33203125" style="107" bestFit="1" customWidth="1"/>
    <col min="2065" max="2065" width="12.83203125" style="107" customWidth="1"/>
    <col min="2066" max="2066" width="10.83203125" style="107"/>
    <col min="2067" max="2067" width="12.5" style="107" bestFit="1" customWidth="1"/>
    <col min="2068" max="2068" width="10.83203125" style="107"/>
    <col min="2069" max="2069" width="11.5" style="107" bestFit="1" customWidth="1"/>
    <col min="2070" max="2305" width="10.83203125" style="107"/>
    <col min="2306" max="2306" width="3.1640625" style="107" customWidth="1"/>
    <col min="2307" max="2307" width="40.33203125" style="107" customWidth="1"/>
    <col min="2308" max="2308" width="11.1640625" style="107" customWidth="1"/>
    <col min="2309" max="2309" width="9.83203125" style="107" customWidth="1"/>
    <col min="2310" max="2310" width="11.6640625" style="107" bestFit="1" customWidth="1"/>
    <col min="2311" max="2311" width="9.5" style="107" customWidth="1"/>
    <col min="2312" max="2312" width="9.1640625" style="107" customWidth="1"/>
    <col min="2313" max="2313" width="8.6640625" style="107" customWidth="1"/>
    <col min="2314" max="2314" width="9.1640625" style="107" customWidth="1"/>
    <col min="2315" max="2316" width="9.33203125" style="107" customWidth="1"/>
    <col min="2317" max="2319" width="8.83203125" style="107" bestFit="1" customWidth="1"/>
    <col min="2320" max="2320" width="12.33203125" style="107" bestFit="1" customWidth="1"/>
    <col min="2321" max="2321" width="12.83203125" style="107" customWidth="1"/>
    <col min="2322" max="2322" width="10.83203125" style="107"/>
    <col min="2323" max="2323" width="12.5" style="107" bestFit="1" customWidth="1"/>
    <col min="2324" max="2324" width="10.83203125" style="107"/>
    <col min="2325" max="2325" width="11.5" style="107" bestFit="1" customWidth="1"/>
    <col min="2326" max="2561" width="10.83203125" style="107"/>
    <col min="2562" max="2562" width="3.1640625" style="107" customWidth="1"/>
    <col min="2563" max="2563" width="40.33203125" style="107" customWidth="1"/>
    <col min="2564" max="2564" width="11.1640625" style="107" customWidth="1"/>
    <col min="2565" max="2565" width="9.83203125" style="107" customWidth="1"/>
    <col min="2566" max="2566" width="11.6640625" style="107" bestFit="1" customWidth="1"/>
    <col min="2567" max="2567" width="9.5" style="107" customWidth="1"/>
    <col min="2568" max="2568" width="9.1640625" style="107" customWidth="1"/>
    <col min="2569" max="2569" width="8.6640625" style="107" customWidth="1"/>
    <col min="2570" max="2570" width="9.1640625" style="107" customWidth="1"/>
    <col min="2571" max="2572" width="9.33203125" style="107" customWidth="1"/>
    <col min="2573" max="2575" width="8.83203125" style="107" bestFit="1" customWidth="1"/>
    <col min="2576" max="2576" width="12.33203125" style="107" bestFit="1" customWidth="1"/>
    <col min="2577" max="2577" width="12.83203125" style="107" customWidth="1"/>
    <col min="2578" max="2578" width="10.83203125" style="107"/>
    <col min="2579" max="2579" width="12.5" style="107" bestFit="1" customWidth="1"/>
    <col min="2580" max="2580" width="10.83203125" style="107"/>
    <col min="2581" max="2581" width="11.5" style="107" bestFit="1" customWidth="1"/>
    <col min="2582" max="2817" width="10.83203125" style="107"/>
    <col min="2818" max="2818" width="3.1640625" style="107" customWidth="1"/>
    <col min="2819" max="2819" width="40.33203125" style="107" customWidth="1"/>
    <col min="2820" max="2820" width="11.1640625" style="107" customWidth="1"/>
    <col min="2821" max="2821" width="9.83203125" style="107" customWidth="1"/>
    <col min="2822" max="2822" width="11.6640625" style="107" bestFit="1" customWidth="1"/>
    <col min="2823" max="2823" width="9.5" style="107" customWidth="1"/>
    <col min="2824" max="2824" width="9.1640625" style="107" customWidth="1"/>
    <col min="2825" max="2825" width="8.6640625" style="107" customWidth="1"/>
    <col min="2826" max="2826" width="9.1640625" style="107" customWidth="1"/>
    <col min="2827" max="2828" width="9.33203125" style="107" customWidth="1"/>
    <col min="2829" max="2831" width="8.83203125" style="107" bestFit="1" customWidth="1"/>
    <col min="2832" max="2832" width="12.33203125" style="107" bestFit="1" customWidth="1"/>
    <col min="2833" max="2833" width="12.83203125" style="107" customWidth="1"/>
    <col min="2834" max="2834" width="10.83203125" style="107"/>
    <col min="2835" max="2835" width="12.5" style="107" bestFit="1" customWidth="1"/>
    <col min="2836" max="2836" width="10.83203125" style="107"/>
    <col min="2837" max="2837" width="11.5" style="107" bestFit="1" customWidth="1"/>
    <col min="2838" max="3073" width="10.83203125" style="107"/>
    <col min="3074" max="3074" width="3.1640625" style="107" customWidth="1"/>
    <col min="3075" max="3075" width="40.33203125" style="107" customWidth="1"/>
    <col min="3076" max="3076" width="11.1640625" style="107" customWidth="1"/>
    <col min="3077" max="3077" width="9.83203125" style="107" customWidth="1"/>
    <col min="3078" max="3078" width="11.6640625" style="107" bestFit="1" customWidth="1"/>
    <col min="3079" max="3079" width="9.5" style="107" customWidth="1"/>
    <col min="3080" max="3080" width="9.1640625" style="107" customWidth="1"/>
    <col min="3081" max="3081" width="8.6640625" style="107" customWidth="1"/>
    <col min="3082" max="3082" width="9.1640625" style="107" customWidth="1"/>
    <col min="3083" max="3084" width="9.33203125" style="107" customWidth="1"/>
    <col min="3085" max="3087" width="8.83203125" style="107" bestFit="1" customWidth="1"/>
    <col min="3088" max="3088" width="12.33203125" style="107" bestFit="1" customWidth="1"/>
    <col min="3089" max="3089" width="12.83203125" style="107" customWidth="1"/>
    <col min="3090" max="3090" width="10.83203125" style="107"/>
    <col min="3091" max="3091" width="12.5" style="107" bestFit="1" customWidth="1"/>
    <col min="3092" max="3092" width="10.83203125" style="107"/>
    <col min="3093" max="3093" width="11.5" style="107" bestFit="1" customWidth="1"/>
    <col min="3094" max="3329" width="10.83203125" style="107"/>
    <col min="3330" max="3330" width="3.1640625" style="107" customWidth="1"/>
    <col min="3331" max="3331" width="40.33203125" style="107" customWidth="1"/>
    <col min="3332" max="3332" width="11.1640625" style="107" customWidth="1"/>
    <col min="3333" max="3333" width="9.83203125" style="107" customWidth="1"/>
    <col min="3334" max="3334" width="11.6640625" style="107" bestFit="1" customWidth="1"/>
    <col min="3335" max="3335" width="9.5" style="107" customWidth="1"/>
    <col min="3336" max="3336" width="9.1640625" style="107" customWidth="1"/>
    <col min="3337" max="3337" width="8.6640625" style="107" customWidth="1"/>
    <col min="3338" max="3338" width="9.1640625" style="107" customWidth="1"/>
    <col min="3339" max="3340" width="9.33203125" style="107" customWidth="1"/>
    <col min="3341" max="3343" width="8.83203125" style="107" bestFit="1" customWidth="1"/>
    <col min="3344" max="3344" width="12.33203125" style="107" bestFit="1" customWidth="1"/>
    <col min="3345" max="3345" width="12.83203125" style="107" customWidth="1"/>
    <col min="3346" max="3346" width="10.83203125" style="107"/>
    <col min="3347" max="3347" width="12.5" style="107" bestFit="1" customWidth="1"/>
    <col min="3348" max="3348" width="10.83203125" style="107"/>
    <col min="3349" max="3349" width="11.5" style="107" bestFit="1" customWidth="1"/>
    <col min="3350" max="3585" width="10.83203125" style="107"/>
    <col min="3586" max="3586" width="3.1640625" style="107" customWidth="1"/>
    <col min="3587" max="3587" width="40.33203125" style="107" customWidth="1"/>
    <col min="3588" max="3588" width="11.1640625" style="107" customWidth="1"/>
    <col min="3589" max="3589" width="9.83203125" style="107" customWidth="1"/>
    <col min="3590" max="3590" width="11.6640625" style="107" bestFit="1" customWidth="1"/>
    <col min="3591" max="3591" width="9.5" style="107" customWidth="1"/>
    <col min="3592" max="3592" width="9.1640625" style="107" customWidth="1"/>
    <col min="3593" max="3593" width="8.6640625" style="107" customWidth="1"/>
    <col min="3594" max="3594" width="9.1640625" style="107" customWidth="1"/>
    <col min="3595" max="3596" width="9.33203125" style="107" customWidth="1"/>
    <col min="3597" max="3599" width="8.83203125" style="107" bestFit="1" customWidth="1"/>
    <col min="3600" max="3600" width="12.33203125" style="107" bestFit="1" customWidth="1"/>
    <col min="3601" max="3601" width="12.83203125" style="107" customWidth="1"/>
    <col min="3602" max="3602" width="10.83203125" style="107"/>
    <col min="3603" max="3603" width="12.5" style="107" bestFit="1" customWidth="1"/>
    <col min="3604" max="3604" width="10.83203125" style="107"/>
    <col min="3605" max="3605" width="11.5" style="107" bestFit="1" customWidth="1"/>
    <col min="3606" max="3841" width="10.83203125" style="107"/>
    <col min="3842" max="3842" width="3.1640625" style="107" customWidth="1"/>
    <col min="3843" max="3843" width="40.33203125" style="107" customWidth="1"/>
    <col min="3844" max="3844" width="11.1640625" style="107" customWidth="1"/>
    <col min="3845" max="3845" width="9.83203125" style="107" customWidth="1"/>
    <col min="3846" max="3846" width="11.6640625" style="107" bestFit="1" customWidth="1"/>
    <col min="3847" max="3847" width="9.5" style="107" customWidth="1"/>
    <col min="3848" max="3848" width="9.1640625" style="107" customWidth="1"/>
    <col min="3849" max="3849" width="8.6640625" style="107" customWidth="1"/>
    <col min="3850" max="3850" width="9.1640625" style="107" customWidth="1"/>
    <col min="3851" max="3852" width="9.33203125" style="107" customWidth="1"/>
    <col min="3853" max="3855" width="8.83203125" style="107" bestFit="1" customWidth="1"/>
    <col min="3856" max="3856" width="12.33203125" style="107" bestFit="1" customWidth="1"/>
    <col min="3857" max="3857" width="12.83203125" style="107" customWidth="1"/>
    <col min="3858" max="3858" width="10.83203125" style="107"/>
    <col min="3859" max="3859" width="12.5" style="107" bestFit="1" customWidth="1"/>
    <col min="3860" max="3860" width="10.83203125" style="107"/>
    <col min="3861" max="3861" width="11.5" style="107" bestFit="1" customWidth="1"/>
    <col min="3862" max="4097" width="10.83203125" style="107"/>
    <col min="4098" max="4098" width="3.1640625" style="107" customWidth="1"/>
    <col min="4099" max="4099" width="40.33203125" style="107" customWidth="1"/>
    <col min="4100" max="4100" width="11.1640625" style="107" customWidth="1"/>
    <col min="4101" max="4101" width="9.83203125" style="107" customWidth="1"/>
    <col min="4102" max="4102" width="11.6640625" style="107" bestFit="1" customWidth="1"/>
    <col min="4103" max="4103" width="9.5" style="107" customWidth="1"/>
    <col min="4104" max="4104" width="9.1640625" style="107" customWidth="1"/>
    <col min="4105" max="4105" width="8.6640625" style="107" customWidth="1"/>
    <col min="4106" max="4106" width="9.1640625" style="107" customWidth="1"/>
    <col min="4107" max="4108" width="9.33203125" style="107" customWidth="1"/>
    <col min="4109" max="4111" width="8.83203125" style="107" bestFit="1" customWidth="1"/>
    <col min="4112" max="4112" width="12.33203125" style="107" bestFit="1" customWidth="1"/>
    <col min="4113" max="4113" width="12.83203125" style="107" customWidth="1"/>
    <col min="4114" max="4114" width="10.83203125" style="107"/>
    <col min="4115" max="4115" width="12.5" style="107" bestFit="1" customWidth="1"/>
    <col min="4116" max="4116" width="10.83203125" style="107"/>
    <col min="4117" max="4117" width="11.5" style="107" bestFit="1" customWidth="1"/>
    <col min="4118" max="4353" width="10.83203125" style="107"/>
    <col min="4354" max="4354" width="3.1640625" style="107" customWidth="1"/>
    <col min="4355" max="4355" width="40.33203125" style="107" customWidth="1"/>
    <col min="4356" max="4356" width="11.1640625" style="107" customWidth="1"/>
    <col min="4357" max="4357" width="9.83203125" style="107" customWidth="1"/>
    <col min="4358" max="4358" width="11.6640625" style="107" bestFit="1" customWidth="1"/>
    <col min="4359" max="4359" width="9.5" style="107" customWidth="1"/>
    <col min="4360" max="4360" width="9.1640625" style="107" customWidth="1"/>
    <col min="4361" max="4361" width="8.6640625" style="107" customWidth="1"/>
    <col min="4362" max="4362" width="9.1640625" style="107" customWidth="1"/>
    <col min="4363" max="4364" width="9.33203125" style="107" customWidth="1"/>
    <col min="4365" max="4367" width="8.83203125" style="107" bestFit="1" customWidth="1"/>
    <col min="4368" max="4368" width="12.33203125" style="107" bestFit="1" customWidth="1"/>
    <col min="4369" max="4369" width="12.83203125" style="107" customWidth="1"/>
    <col min="4370" max="4370" width="10.83203125" style="107"/>
    <col min="4371" max="4371" width="12.5" style="107" bestFit="1" customWidth="1"/>
    <col min="4372" max="4372" width="10.83203125" style="107"/>
    <col min="4373" max="4373" width="11.5" style="107" bestFit="1" customWidth="1"/>
    <col min="4374" max="4609" width="10.83203125" style="107"/>
    <col min="4610" max="4610" width="3.1640625" style="107" customWidth="1"/>
    <col min="4611" max="4611" width="40.33203125" style="107" customWidth="1"/>
    <col min="4612" max="4612" width="11.1640625" style="107" customWidth="1"/>
    <col min="4613" max="4613" width="9.83203125" style="107" customWidth="1"/>
    <col min="4614" max="4614" width="11.6640625" style="107" bestFit="1" customWidth="1"/>
    <col min="4615" max="4615" width="9.5" style="107" customWidth="1"/>
    <col min="4616" max="4616" width="9.1640625" style="107" customWidth="1"/>
    <col min="4617" max="4617" width="8.6640625" style="107" customWidth="1"/>
    <col min="4618" max="4618" width="9.1640625" style="107" customWidth="1"/>
    <col min="4619" max="4620" width="9.33203125" style="107" customWidth="1"/>
    <col min="4621" max="4623" width="8.83203125" style="107" bestFit="1" customWidth="1"/>
    <col min="4624" max="4624" width="12.33203125" style="107" bestFit="1" customWidth="1"/>
    <col min="4625" max="4625" width="12.83203125" style="107" customWidth="1"/>
    <col min="4626" max="4626" width="10.83203125" style="107"/>
    <col min="4627" max="4627" width="12.5" style="107" bestFit="1" customWidth="1"/>
    <col min="4628" max="4628" width="10.83203125" style="107"/>
    <col min="4629" max="4629" width="11.5" style="107" bestFit="1" customWidth="1"/>
    <col min="4630" max="4865" width="10.83203125" style="107"/>
    <col min="4866" max="4866" width="3.1640625" style="107" customWidth="1"/>
    <col min="4867" max="4867" width="40.33203125" style="107" customWidth="1"/>
    <col min="4868" max="4868" width="11.1640625" style="107" customWidth="1"/>
    <col min="4869" max="4869" width="9.83203125" style="107" customWidth="1"/>
    <col min="4870" max="4870" width="11.6640625" style="107" bestFit="1" customWidth="1"/>
    <col min="4871" max="4871" width="9.5" style="107" customWidth="1"/>
    <col min="4872" max="4872" width="9.1640625" style="107" customWidth="1"/>
    <col min="4873" max="4873" width="8.6640625" style="107" customWidth="1"/>
    <col min="4874" max="4874" width="9.1640625" style="107" customWidth="1"/>
    <col min="4875" max="4876" width="9.33203125" style="107" customWidth="1"/>
    <col min="4877" max="4879" width="8.83203125" style="107" bestFit="1" customWidth="1"/>
    <col min="4880" max="4880" width="12.33203125" style="107" bestFit="1" customWidth="1"/>
    <col min="4881" max="4881" width="12.83203125" style="107" customWidth="1"/>
    <col min="4882" max="4882" width="10.83203125" style="107"/>
    <col min="4883" max="4883" width="12.5" style="107" bestFit="1" customWidth="1"/>
    <col min="4884" max="4884" width="10.83203125" style="107"/>
    <col min="4885" max="4885" width="11.5" style="107" bestFit="1" customWidth="1"/>
    <col min="4886" max="5121" width="10.83203125" style="107"/>
    <col min="5122" max="5122" width="3.1640625" style="107" customWidth="1"/>
    <col min="5123" max="5123" width="40.33203125" style="107" customWidth="1"/>
    <col min="5124" max="5124" width="11.1640625" style="107" customWidth="1"/>
    <col min="5125" max="5125" width="9.83203125" style="107" customWidth="1"/>
    <col min="5126" max="5126" width="11.6640625" style="107" bestFit="1" customWidth="1"/>
    <col min="5127" max="5127" width="9.5" style="107" customWidth="1"/>
    <col min="5128" max="5128" width="9.1640625" style="107" customWidth="1"/>
    <col min="5129" max="5129" width="8.6640625" style="107" customWidth="1"/>
    <col min="5130" max="5130" width="9.1640625" style="107" customWidth="1"/>
    <col min="5131" max="5132" width="9.33203125" style="107" customWidth="1"/>
    <col min="5133" max="5135" width="8.83203125" style="107" bestFit="1" customWidth="1"/>
    <col min="5136" max="5136" width="12.33203125" style="107" bestFit="1" customWidth="1"/>
    <col min="5137" max="5137" width="12.83203125" style="107" customWidth="1"/>
    <col min="5138" max="5138" width="10.83203125" style="107"/>
    <col min="5139" max="5139" width="12.5" style="107" bestFit="1" customWidth="1"/>
    <col min="5140" max="5140" width="10.83203125" style="107"/>
    <col min="5141" max="5141" width="11.5" style="107" bestFit="1" customWidth="1"/>
    <col min="5142" max="5377" width="10.83203125" style="107"/>
    <col min="5378" max="5378" width="3.1640625" style="107" customWidth="1"/>
    <col min="5379" max="5379" width="40.33203125" style="107" customWidth="1"/>
    <col min="5380" max="5380" width="11.1640625" style="107" customWidth="1"/>
    <col min="5381" max="5381" width="9.83203125" style="107" customWidth="1"/>
    <col min="5382" max="5382" width="11.6640625" style="107" bestFit="1" customWidth="1"/>
    <col min="5383" max="5383" width="9.5" style="107" customWidth="1"/>
    <col min="5384" max="5384" width="9.1640625" style="107" customWidth="1"/>
    <col min="5385" max="5385" width="8.6640625" style="107" customWidth="1"/>
    <col min="5386" max="5386" width="9.1640625" style="107" customWidth="1"/>
    <col min="5387" max="5388" width="9.33203125" style="107" customWidth="1"/>
    <col min="5389" max="5391" width="8.83203125" style="107" bestFit="1" customWidth="1"/>
    <col min="5392" max="5392" width="12.33203125" style="107" bestFit="1" customWidth="1"/>
    <col min="5393" max="5393" width="12.83203125" style="107" customWidth="1"/>
    <col min="5394" max="5394" width="10.83203125" style="107"/>
    <col min="5395" max="5395" width="12.5" style="107" bestFit="1" customWidth="1"/>
    <col min="5396" max="5396" width="10.83203125" style="107"/>
    <col min="5397" max="5397" width="11.5" style="107" bestFit="1" customWidth="1"/>
    <col min="5398" max="5633" width="10.83203125" style="107"/>
    <col min="5634" max="5634" width="3.1640625" style="107" customWidth="1"/>
    <col min="5635" max="5635" width="40.33203125" style="107" customWidth="1"/>
    <col min="5636" max="5636" width="11.1640625" style="107" customWidth="1"/>
    <col min="5637" max="5637" width="9.83203125" style="107" customWidth="1"/>
    <col min="5638" max="5638" width="11.6640625" style="107" bestFit="1" customWidth="1"/>
    <col min="5639" max="5639" width="9.5" style="107" customWidth="1"/>
    <col min="5640" max="5640" width="9.1640625" style="107" customWidth="1"/>
    <col min="5641" max="5641" width="8.6640625" style="107" customWidth="1"/>
    <col min="5642" max="5642" width="9.1640625" style="107" customWidth="1"/>
    <col min="5643" max="5644" width="9.33203125" style="107" customWidth="1"/>
    <col min="5645" max="5647" width="8.83203125" style="107" bestFit="1" customWidth="1"/>
    <col min="5648" max="5648" width="12.33203125" style="107" bestFit="1" customWidth="1"/>
    <col min="5649" max="5649" width="12.83203125" style="107" customWidth="1"/>
    <col min="5650" max="5650" width="10.83203125" style="107"/>
    <col min="5651" max="5651" width="12.5" style="107" bestFit="1" customWidth="1"/>
    <col min="5652" max="5652" width="10.83203125" style="107"/>
    <col min="5653" max="5653" width="11.5" style="107" bestFit="1" customWidth="1"/>
    <col min="5654" max="5889" width="10.83203125" style="107"/>
    <col min="5890" max="5890" width="3.1640625" style="107" customWidth="1"/>
    <col min="5891" max="5891" width="40.33203125" style="107" customWidth="1"/>
    <col min="5892" max="5892" width="11.1640625" style="107" customWidth="1"/>
    <col min="5893" max="5893" width="9.83203125" style="107" customWidth="1"/>
    <col min="5894" max="5894" width="11.6640625" style="107" bestFit="1" customWidth="1"/>
    <col min="5895" max="5895" width="9.5" style="107" customWidth="1"/>
    <col min="5896" max="5896" width="9.1640625" style="107" customWidth="1"/>
    <col min="5897" max="5897" width="8.6640625" style="107" customWidth="1"/>
    <col min="5898" max="5898" width="9.1640625" style="107" customWidth="1"/>
    <col min="5899" max="5900" width="9.33203125" style="107" customWidth="1"/>
    <col min="5901" max="5903" width="8.83203125" style="107" bestFit="1" customWidth="1"/>
    <col min="5904" max="5904" width="12.33203125" style="107" bestFit="1" customWidth="1"/>
    <col min="5905" max="5905" width="12.83203125" style="107" customWidth="1"/>
    <col min="5906" max="5906" width="10.83203125" style="107"/>
    <col min="5907" max="5907" width="12.5" style="107" bestFit="1" customWidth="1"/>
    <col min="5908" max="5908" width="10.83203125" style="107"/>
    <col min="5909" max="5909" width="11.5" style="107" bestFit="1" customWidth="1"/>
    <col min="5910" max="6145" width="10.83203125" style="107"/>
    <col min="6146" max="6146" width="3.1640625" style="107" customWidth="1"/>
    <col min="6147" max="6147" width="40.33203125" style="107" customWidth="1"/>
    <col min="6148" max="6148" width="11.1640625" style="107" customWidth="1"/>
    <col min="6149" max="6149" width="9.83203125" style="107" customWidth="1"/>
    <col min="6150" max="6150" width="11.6640625" style="107" bestFit="1" customWidth="1"/>
    <col min="6151" max="6151" width="9.5" style="107" customWidth="1"/>
    <col min="6152" max="6152" width="9.1640625" style="107" customWidth="1"/>
    <col min="6153" max="6153" width="8.6640625" style="107" customWidth="1"/>
    <col min="6154" max="6154" width="9.1640625" style="107" customWidth="1"/>
    <col min="6155" max="6156" width="9.33203125" style="107" customWidth="1"/>
    <col min="6157" max="6159" width="8.83203125" style="107" bestFit="1" customWidth="1"/>
    <col min="6160" max="6160" width="12.33203125" style="107" bestFit="1" customWidth="1"/>
    <col min="6161" max="6161" width="12.83203125" style="107" customWidth="1"/>
    <col min="6162" max="6162" width="10.83203125" style="107"/>
    <col min="6163" max="6163" width="12.5" style="107" bestFit="1" customWidth="1"/>
    <col min="6164" max="6164" width="10.83203125" style="107"/>
    <col min="6165" max="6165" width="11.5" style="107" bestFit="1" customWidth="1"/>
    <col min="6166" max="6401" width="10.83203125" style="107"/>
    <col min="6402" max="6402" width="3.1640625" style="107" customWidth="1"/>
    <col min="6403" max="6403" width="40.33203125" style="107" customWidth="1"/>
    <col min="6404" max="6404" width="11.1640625" style="107" customWidth="1"/>
    <col min="6405" max="6405" width="9.83203125" style="107" customWidth="1"/>
    <col min="6406" max="6406" width="11.6640625" style="107" bestFit="1" customWidth="1"/>
    <col min="6407" max="6407" width="9.5" style="107" customWidth="1"/>
    <col min="6408" max="6408" width="9.1640625" style="107" customWidth="1"/>
    <col min="6409" max="6409" width="8.6640625" style="107" customWidth="1"/>
    <col min="6410" max="6410" width="9.1640625" style="107" customWidth="1"/>
    <col min="6411" max="6412" width="9.33203125" style="107" customWidth="1"/>
    <col min="6413" max="6415" width="8.83203125" style="107" bestFit="1" customWidth="1"/>
    <col min="6416" max="6416" width="12.33203125" style="107" bestFit="1" customWidth="1"/>
    <col min="6417" max="6417" width="12.83203125" style="107" customWidth="1"/>
    <col min="6418" max="6418" width="10.83203125" style="107"/>
    <col min="6419" max="6419" width="12.5" style="107" bestFit="1" customWidth="1"/>
    <col min="6420" max="6420" width="10.83203125" style="107"/>
    <col min="6421" max="6421" width="11.5" style="107" bestFit="1" customWidth="1"/>
    <col min="6422" max="6657" width="10.83203125" style="107"/>
    <col min="6658" max="6658" width="3.1640625" style="107" customWidth="1"/>
    <col min="6659" max="6659" width="40.33203125" style="107" customWidth="1"/>
    <col min="6660" max="6660" width="11.1640625" style="107" customWidth="1"/>
    <col min="6661" max="6661" width="9.83203125" style="107" customWidth="1"/>
    <col min="6662" max="6662" width="11.6640625" style="107" bestFit="1" customWidth="1"/>
    <col min="6663" max="6663" width="9.5" style="107" customWidth="1"/>
    <col min="6664" max="6664" width="9.1640625" style="107" customWidth="1"/>
    <col min="6665" max="6665" width="8.6640625" style="107" customWidth="1"/>
    <col min="6666" max="6666" width="9.1640625" style="107" customWidth="1"/>
    <col min="6667" max="6668" width="9.33203125" style="107" customWidth="1"/>
    <col min="6669" max="6671" width="8.83203125" style="107" bestFit="1" customWidth="1"/>
    <col min="6672" max="6672" width="12.33203125" style="107" bestFit="1" customWidth="1"/>
    <col min="6673" max="6673" width="12.83203125" style="107" customWidth="1"/>
    <col min="6674" max="6674" width="10.83203125" style="107"/>
    <col min="6675" max="6675" width="12.5" style="107" bestFit="1" customWidth="1"/>
    <col min="6676" max="6676" width="10.83203125" style="107"/>
    <col min="6677" max="6677" width="11.5" style="107" bestFit="1" customWidth="1"/>
    <col min="6678" max="6913" width="10.83203125" style="107"/>
    <col min="6914" max="6914" width="3.1640625" style="107" customWidth="1"/>
    <col min="6915" max="6915" width="40.33203125" style="107" customWidth="1"/>
    <col min="6916" max="6916" width="11.1640625" style="107" customWidth="1"/>
    <col min="6917" max="6917" width="9.83203125" style="107" customWidth="1"/>
    <col min="6918" max="6918" width="11.6640625" style="107" bestFit="1" customWidth="1"/>
    <col min="6919" max="6919" width="9.5" style="107" customWidth="1"/>
    <col min="6920" max="6920" width="9.1640625" style="107" customWidth="1"/>
    <col min="6921" max="6921" width="8.6640625" style="107" customWidth="1"/>
    <col min="6922" max="6922" width="9.1640625" style="107" customWidth="1"/>
    <col min="6923" max="6924" width="9.33203125" style="107" customWidth="1"/>
    <col min="6925" max="6927" width="8.83203125" style="107" bestFit="1" customWidth="1"/>
    <col min="6928" max="6928" width="12.33203125" style="107" bestFit="1" customWidth="1"/>
    <col min="6929" max="6929" width="12.83203125" style="107" customWidth="1"/>
    <col min="6930" max="6930" width="10.83203125" style="107"/>
    <col min="6931" max="6931" width="12.5" style="107" bestFit="1" customWidth="1"/>
    <col min="6932" max="6932" width="10.83203125" style="107"/>
    <col min="6933" max="6933" width="11.5" style="107" bestFit="1" customWidth="1"/>
    <col min="6934" max="7169" width="10.83203125" style="107"/>
    <col min="7170" max="7170" width="3.1640625" style="107" customWidth="1"/>
    <col min="7171" max="7171" width="40.33203125" style="107" customWidth="1"/>
    <col min="7172" max="7172" width="11.1640625" style="107" customWidth="1"/>
    <col min="7173" max="7173" width="9.83203125" style="107" customWidth="1"/>
    <col min="7174" max="7174" width="11.6640625" style="107" bestFit="1" customWidth="1"/>
    <col min="7175" max="7175" width="9.5" style="107" customWidth="1"/>
    <col min="7176" max="7176" width="9.1640625" style="107" customWidth="1"/>
    <col min="7177" max="7177" width="8.6640625" style="107" customWidth="1"/>
    <col min="7178" max="7178" width="9.1640625" style="107" customWidth="1"/>
    <col min="7179" max="7180" width="9.33203125" style="107" customWidth="1"/>
    <col min="7181" max="7183" width="8.83203125" style="107" bestFit="1" customWidth="1"/>
    <col min="7184" max="7184" width="12.33203125" style="107" bestFit="1" customWidth="1"/>
    <col min="7185" max="7185" width="12.83203125" style="107" customWidth="1"/>
    <col min="7186" max="7186" width="10.83203125" style="107"/>
    <col min="7187" max="7187" width="12.5" style="107" bestFit="1" customWidth="1"/>
    <col min="7188" max="7188" width="10.83203125" style="107"/>
    <col min="7189" max="7189" width="11.5" style="107" bestFit="1" customWidth="1"/>
    <col min="7190" max="7425" width="10.83203125" style="107"/>
    <col min="7426" max="7426" width="3.1640625" style="107" customWidth="1"/>
    <col min="7427" max="7427" width="40.33203125" style="107" customWidth="1"/>
    <col min="7428" max="7428" width="11.1640625" style="107" customWidth="1"/>
    <col min="7429" max="7429" width="9.83203125" style="107" customWidth="1"/>
    <col min="7430" max="7430" width="11.6640625" style="107" bestFit="1" customWidth="1"/>
    <col min="7431" max="7431" width="9.5" style="107" customWidth="1"/>
    <col min="7432" max="7432" width="9.1640625" style="107" customWidth="1"/>
    <col min="7433" max="7433" width="8.6640625" style="107" customWidth="1"/>
    <col min="7434" max="7434" width="9.1640625" style="107" customWidth="1"/>
    <col min="7435" max="7436" width="9.33203125" style="107" customWidth="1"/>
    <col min="7437" max="7439" width="8.83203125" style="107" bestFit="1" customWidth="1"/>
    <col min="7440" max="7440" width="12.33203125" style="107" bestFit="1" customWidth="1"/>
    <col min="7441" max="7441" width="12.83203125" style="107" customWidth="1"/>
    <col min="7442" max="7442" width="10.83203125" style="107"/>
    <col min="7443" max="7443" width="12.5" style="107" bestFit="1" customWidth="1"/>
    <col min="7444" max="7444" width="10.83203125" style="107"/>
    <col min="7445" max="7445" width="11.5" style="107" bestFit="1" customWidth="1"/>
    <col min="7446" max="7681" width="10.83203125" style="107"/>
    <col min="7682" max="7682" width="3.1640625" style="107" customWidth="1"/>
    <col min="7683" max="7683" width="40.33203125" style="107" customWidth="1"/>
    <col min="7684" max="7684" width="11.1640625" style="107" customWidth="1"/>
    <col min="7685" max="7685" width="9.83203125" style="107" customWidth="1"/>
    <col min="7686" max="7686" width="11.6640625" style="107" bestFit="1" customWidth="1"/>
    <col min="7687" max="7687" width="9.5" style="107" customWidth="1"/>
    <col min="7688" max="7688" width="9.1640625" style="107" customWidth="1"/>
    <col min="7689" max="7689" width="8.6640625" style="107" customWidth="1"/>
    <col min="7690" max="7690" width="9.1640625" style="107" customWidth="1"/>
    <col min="7691" max="7692" width="9.33203125" style="107" customWidth="1"/>
    <col min="7693" max="7695" width="8.83203125" style="107" bestFit="1" customWidth="1"/>
    <col min="7696" max="7696" width="12.33203125" style="107" bestFit="1" customWidth="1"/>
    <col min="7697" max="7697" width="12.83203125" style="107" customWidth="1"/>
    <col min="7698" max="7698" width="10.83203125" style="107"/>
    <col min="7699" max="7699" width="12.5" style="107" bestFit="1" customWidth="1"/>
    <col min="7700" max="7700" width="10.83203125" style="107"/>
    <col min="7701" max="7701" width="11.5" style="107" bestFit="1" customWidth="1"/>
    <col min="7702" max="7937" width="10.83203125" style="107"/>
    <col min="7938" max="7938" width="3.1640625" style="107" customWidth="1"/>
    <col min="7939" max="7939" width="40.33203125" style="107" customWidth="1"/>
    <col min="7940" max="7940" width="11.1640625" style="107" customWidth="1"/>
    <col min="7941" max="7941" width="9.83203125" style="107" customWidth="1"/>
    <col min="7942" max="7942" width="11.6640625" style="107" bestFit="1" customWidth="1"/>
    <col min="7943" max="7943" width="9.5" style="107" customWidth="1"/>
    <col min="7944" max="7944" width="9.1640625" style="107" customWidth="1"/>
    <col min="7945" max="7945" width="8.6640625" style="107" customWidth="1"/>
    <col min="7946" max="7946" width="9.1640625" style="107" customWidth="1"/>
    <col min="7947" max="7948" width="9.33203125" style="107" customWidth="1"/>
    <col min="7949" max="7951" width="8.83203125" style="107" bestFit="1" customWidth="1"/>
    <col min="7952" max="7952" width="12.33203125" style="107" bestFit="1" customWidth="1"/>
    <col min="7953" max="7953" width="12.83203125" style="107" customWidth="1"/>
    <col min="7954" max="7954" width="10.83203125" style="107"/>
    <col min="7955" max="7955" width="12.5" style="107" bestFit="1" customWidth="1"/>
    <col min="7956" max="7956" width="10.83203125" style="107"/>
    <col min="7957" max="7957" width="11.5" style="107" bestFit="1" customWidth="1"/>
    <col min="7958" max="8193" width="10.83203125" style="107"/>
    <col min="8194" max="8194" width="3.1640625" style="107" customWidth="1"/>
    <col min="8195" max="8195" width="40.33203125" style="107" customWidth="1"/>
    <col min="8196" max="8196" width="11.1640625" style="107" customWidth="1"/>
    <col min="8197" max="8197" width="9.83203125" style="107" customWidth="1"/>
    <col min="8198" max="8198" width="11.6640625" style="107" bestFit="1" customWidth="1"/>
    <col min="8199" max="8199" width="9.5" style="107" customWidth="1"/>
    <col min="8200" max="8200" width="9.1640625" style="107" customWidth="1"/>
    <col min="8201" max="8201" width="8.6640625" style="107" customWidth="1"/>
    <col min="8202" max="8202" width="9.1640625" style="107" customWidth="1"/>
    <col min="8203" max="8204" width="9.33203125" style="107" customWidth="1"/>
    <col min="8205" max="8207" width="8.83203125" style="107" bestFit="1" customWidth="1"/>
    <col min="8208" max="8208" width="12.33203125" style="107" bestFit="1" customWidth="1"/>
    <col min="8209" max="8209" width="12.83203125" style="107" customWidth="1"/>
    <col min="8210" max="8210" width="10.83203125" style="107"/>
    <col min="8211" max="8211" width="12.5" style="107" bestFit="1" customWidth="1"/>
    <col min="8212" max="8212" width="10.83203125" style="107"/>
    <col min="8213" max="8213" width="11.5" style="107" bestFit="1" customWidth="1"/>
    <col min="8214" max="8449" width="10.83203125" style="107"/>
    <col min="8450" max="8450" width="3.1640625" style="107" customWidth="1"/>
    <col min="8451" max="8451" width="40.33203125" style="107" customWidth="1"/>
    <col min="8452" max="8452" width="11.1640625" style="107" customWidth="1"/>
    <col min="8453" max="8453" width="9.83203125" style="107" customWidth="1"/>
    <col min="8454" max="8454" width="11.6640625" style="107" bestFit="1" customWidth="1"/>
    <col min="8455" max="8455" width="9.5" style="107" customWidth="1"/>
    <col min="8456" max="8456" width="9.1640625" style="107" customWidth="1"/>
    <col min="8457" max="8457" width="8.6640625" style="107" customWidth="1"/>
    <col min="8458" max="8458" width="9.1640625" style="107" customWidth="1"/>
    <col min="8459" max="8460" width="9.33203125" style="107" customWidth="1"/>
    <col min="8461" max="8463" width="8.83203125" style="107" bestFit="1" customWidth="1"/>
    <col min="8464" max="8464" width="12.33203125" style="107" bestFit="1" customWidth="1"/>
    <col min="8465" max="8465" width="12.83203125" style="107" customWidth="1"/>
    <col min="8466" max="8466" width="10.83203125" style="107"/>
    <col min="8467" max="8467" width="12.5" style="107" bestFit="1" customWidth="1"/>
    <col min="8468" max="8468" width="10.83203125" style="107"/>
    <col min="8469" max="8469" width="11.5" style="107" bestFit="1" customWidth="1"/>
    <col min="8470" max="8705" width="10.83203125" style="107"/>
    <col min="8706" max="8706" width="3.1640625" style="107" customWidth="1"/>
    <col min="8707" max="8707" width="40.33203125" style="107" customWidth="1"/>
    <col min="8708" max="8708" width="11.1640625" style="107" customWidth="1"/>
    <col min="8709" max="8709" width="9.83203125" style="107" customWidth="1"/>
    <col min="8710" max="8710" width="11.6640625" style="107" bestFit="1" customWidth="1"/>
    <col min="8711" max="8711" width="9.5" style="107" customWidth="1"/>
    <col min="8712" max="8712" width="9.1640625" style="107" customWidth="1"/>
    <col min="8713" max="8713" width="8.6640625" style="107" customWidth="1"/>
    <col min="8714" max="8714" width="9.1640625" style="107" customWidth="1"/>
    <col min="8715" max="8716" width="9.33203125" style="107" customWidth="1"/>
    <col min="8717" max="8719" width="8.83203125" style="107" bestFit="1" customWidth="1"/>
    <col min="8720" max="8720" width="12.33203125" style="107" bestFit="1" customWidth="1"/>
    <col min="8721" max="8721" width="12.83203125" style="107" customWidth="1"/>
    <col min="8722" max="8722" width="10.83203125" style="107"/>
    <col min="8723" max="8723" width="12.5" style="107" bestFit="1" customWidth="1"/>
    <col min="8724" max="8724" width="10.83203125" style="107"/>
    <col min="8725" max="8725" width="11.5" style="107" bestFit="1" customWidth="1"/>
    <col min="8726" max="8961" width="10.83203125" style="107"/>
    <col min="8962" max="8962" width="3.1640625" style="107" customWidth="1"/>
    <col min="8963" max="8963" width="40.33203125" style="107" customWidth="1"/>
    <col min="8964" max="8964" width="11.1640625" style="107" customWidth="1"/>
    <col min="8965" max="8965" width="9.83203125" style="107" customWidth="1"/>
    <col min="8966" max="8966" width="11.6640625" style="107" bestFit="1" customWidth="1"/>
    <col min="8967" max="8967" width="9.5" style="107" customWidth="1"/>
    <col min="8968" max="8968" width="9.1640625" style="107" customWidth="1"/>
    <col min="8969" max="8969" width="8.6640625" style="107" customWidth="1"/>
    <col min="8970" max="8970" width="9.1640625" style="107" customWidth="1"/>
    <col min="8971" max="8972" width="9.33203125" style="107" customWidth="1"/>
    <col min="8973" max="8975" width="8.83203125" style="107" bestFit="1" customWidth="1"/>
    <col min="8976" max="8976" width="12.33203125" style="107" bestFit="1" customWidth="1"/>
    <col min="8977" max="8977" width="12.83203125" style="107" customWidth="1"/>
    <col min="8978" max="8978" width="10.83203125" style="107"/>
    <col min="8979" max="8979" width="12.5" style="107" bestFit="1" customWidth="1"/>
    <col min="8980" max="8980" width="10.83203125" style="107"/>
    <col min="8981" max="8981" width="11.5" style="107" bestFit="1" customWidth="1"/>
    <col min="8982" max="9217" width="10.83203125" style="107"/>
    <col min="9218" max="9218" width="3.1640625" style="107" customWidth="1"/>
    <col min="9219" max="9219" width="40.33203125" style="107" customWidth="1"/>
    <col min="9220" max="9220" width="11.1640625" style="107" customWidth="1"/>
    <col min="9221" max="9221" width="9.83203125" style="107" customWidth="1"/>
    <col min="9222" max="9222" width="11.6640625" style="107" bestFit="1" customWidth="1"/>
    <col min="9223" max="9223" width="9.5" style="107" customWidth="1"/>
    <col min="9224" max="9224" width="9.1640625" style="107" customWidth="1"/>
    <col min="9225" max="9225" width="8.6640625" style="107" customWidth="1"/>
    <col min="9226" max="9226" width="9.1640625" style="107" customWidth="1"/>
    <col min="9227" max="9228" width="9.33203125" style="107" customWidth="1"/>
    <col min="9229" max="9231" width="8.83203125" style="107" bestFit="1" customWidth="1"/>
    <col min="9232" max="9232" width="12.33203125" style="107" bestFit="1" customWidth="1"/>
    <col min="9233" max="9233" width="12.83203125" style="107" customWidth="1"/>
    <col min="9234" max="9234" width="10.83203125" style="107"/>
    <col min="9235" max="9235" width="12.5" style="107" bestFit="1" customWidth="1"/>
    <col min="9236" max="9236" width="10.83203125" style="107"/>
    <col min="9237" max="9237" width="11.5" style="107" bestFit="1" customWidth="1"/>
    <col min="9238" max="9473" width="10.83203125" style="107"/>
    <col min="9474" max="9474" width="3.1640625" style="107" customWidth="1"/>
    <col min="9475" max="9475" width="40.33203125" style="107" customWidth="1"/>
    <col min="9476" max="9476" width="11.1640625" style="107" customWidth="1"/>
    <col min="9477" max="9477" width="9.83203125" style="107" customWidth="1"/>
    <col min="9478" max="9478" width="11.6640625" style="107" bestFit="1" customWidth="1"/>
    <col min="9479" max="9479" width="9.5" style="107" customWidth="1"/>
    <col min="9480" max="9480" width="9.1640625" style="107" customWidth="1"/>
    <col min="9481" max="9481" width="8.6640625" style="107" customWidth="1"/>
    <col min="9482" max="9482" width="9.1640625" style="107" customWidth="1"/>
    <col min="9483" max="9484" width="9.33203125" style="107" customWidth="1"/>
    <col min="9485" max="9487" width="8.83203125" style="107" bestFit="1" customWidth="1"/>
    <col min="9488" max="9488" width="12.33203125" style="107" bestFit="1" customWidth="1"/>
    <col min="9489" max="9489" width="12.83203125" style="107" customWidth="1"/>
    <col min="9490" max="9490" width="10.83203125" style="107"/>
    <col min="9491" max="9491" width="12.5" style="107" bestFit="1" customWidth="1"/>
    <col min="9492" max="9492" width="10.83203125" style="107"/>
    <col min="9493" max="9493" width="11.5" style="107" bestFit="1" customWidth="1"/>
    <col min="9494" max="9729" width="10.83203125" style="107"/>
    <col min="9730" max="9730" width="3.1640625" style="107" customWidth="1"/>
    <col min="9731" max="9731" width="40.33203125" style="107" customWidth="1"/>
    <col min="9732" max="9732" width="11.1640625" style="107" customWidth="1"/>
    <col min="9733" max="9733" width="9.83203125" style="107" customWidth="1"/>
    <col min="9734" max="9734" width="11.6640625" style="107" bestFit="1" customWidth="1"/>
    <col min="9735" max="9735" width="9.5" style="107" customWidth="1"/>
    <col min="9736" max="9736" width="9.1640625" style="107" customWidth="1"/>
    <col min="9737" max="9737" width="8.6640625" style="107" customWidth="1"/>
    <col min="9738" max="9738" width="9.1640625" style="107" customWidth="1"/>
    <col min="9739" max="9740" width="9.33203125" style="107" customWidth="1"/>
    <col min="9741" max="9743" width="8.83203125" style="107" bestFit="1" customWidth="1"/>
    <col min="9744" max="9744" width="12.33203125" style="107" bestFit="1" customWidth="1"/>
    <col min="9745" max="9745" width="12.83203125" style="107" customWidth="1"/>
    <col min="9746" max="9746" width="10.83203125" style="107"/>
    <col min="9747" max="9747" width="12.5" style="107" bestFit="1" customWidth="1"/>
    <col min="9748" max="9748" width="10.83203125" style="107"/>
    <col min="9749" max="9749" width="11.5" style="107" bestFit="1" customWidth="1"/>
    <col min="9750" max="9985" width="10.83203125" style="107"/>
    <col min="9986" max="9986" width="3.1640625" style="107" customWidth="1"/>
    <col min="9987" max="9987" width="40.33203125" style="107" customWidth="1"/>
    <col min="9988" max="9988" width="11.1640625" style="107" customWidth="1"/>
    <col min="9989" max="9989" width="9.83203125" style="107" customWidth="1"/>
    <col min="9990" max="9990" width="11.6640625" style="107" bestFit="1" customWidth="1"/>
    <col min="9991" max="9991" width="9.5" style="107" customWidth="1"/>
    <col min="9992" max="9992" width="9.1640625" style="107" customWidth="1"/>
    <col min="9993" max="9993" width="8.6640625" style="107" customWidth="1"/>
    <col min="9994" max="9994" width="9.1640625" style="107" customWidth="1"/>
    <col min="9995" max="9996" width="9.33203125" style="107" customWidth="1"/>
    <col min="9997" max="9999" width="8.83203125" style="107" bestFit="1" customWidth="1"/>
    <col min="10000" max="10000" width="12.33203125" style="107" bestFit="1" customWidth="1"/>
    <col min="10001" max="10001" width="12.83203125" style="107" customWidth="1"/>
    <col min="10002" max="10002" width="10.83203125" style="107"/>
    <col min="10003" max="10003" width="12.5" style="107" bestFit="1" customWidth="1"/>
    <col min="10004" max="10004" width="10.83203125" style="107"/>
    <col min="10005" max="10005" width="11.5" style="107" bestFit="1" customWidth="1"/>
    <col min="10006" max="10241" width="10.83203125" style="107"/>
    <col min="10242" max="10242" width="3.1640625" style="107" customWidth="1"/>
    <col min="10243" max="10243" width="40.33203125" style="107" customWidth="1"/>
    <col min="10244" max="10244" width="11.1640625" style="107" customWidth="1"/>
    <col min="10245" max="10245" width="9.83203125" style="107" customWidth="1"/>
    <col min="10246" max="10246" width="11.6640625" style="107" bestFit="1" customWidth="1"/>
    <col min="10247" max="10247" width="9.5" style="107" customWidth="1"/>
    <col min="10248" max="10248" width="9.1640625" style="107" customWidth="1"/>
    <col min="10249" max="10249" width="8.6640625" style="107" customWidth="1"/>
    <col min="10250" max="10250" width="9.1640625" style="107" customWidth="1"/>
    <col min="10251" max="10252" width="9.33203125" style="107" customWidth="1"/>
    <col min="10253" max="10255" width="8.83203125" style="107" bestFit="1" customWidth="1"/>
    <col min="10256" max="10256" width="12.33203125" style="107" bestFit="1" customWidth="1"/>
    <col min="10257" max="10257" width="12.83203125" style="107" customWidth="1"/>
    <col min="10258" max="10258" width="10.83203125" style="107"/>
    <col min="10259" max="10259" width="12.5" style="107" bestFit="1" customWidth="1"/>
    <col min="10260" max="10260" width="10.83203125" style="107"/>
    <col min="10261" max="10261" width="11.5" style="107" bestFit="1" customWidth="1"/>
    <col min="10262" max="10497" width="10.83203125" style="107"/>
    <col min="10498" max="10498" width="3.1640625" style="107" customWidth="1"/>
    <col min="10499" max="10499" width="40.33203125" style="107" customWidth="1"/>
    <col min="10500" max="10500" width="11.1640625" style="107" customWidth="1"/>
    <col min="10501" max="10501" width="9.83203125" style="107" customWidth="1"/>
    <col min="10502" max="10502" width="11.6640625" style="107" bestFit="1" customWidth="1"/>
    <col min="10503" max="10503" width="9.5" style="107" customWidth="1"/>
    <col min="10504" max="10504" width="9.1640625" style="107" customWidth="1"/>
    <col min="10505" max="10505" width="8.6640625" style="107" customWidth="1"/>
    <col min="10506" max="10506" width="9.1640625" style="107" customWidth="1"/>
    <col min="10507" max="10508" width="9.33203125" style="107" customWidth="1"/>
    <col min="10509" max="10511" width="8.83203125" style="107" bestFit="1" customWidth="1"/>
    <col min="10512" max="10512" width="12.33203125" style="107" bestFit="1" customWidth="1"/>
    <col min="10513" max="10513" width="12.83203125" style="107" customWidth="1"/>
    <col min="10514" max="10514" width="10.83203125" style="107"/>
    <col min="10515" max="10515" width="12.5" style="107" bestFit="1" customWidth="1"/>
    <col min="10516" max="10516" width="10.83203125" style="107"/>
    <col min="10517" max="10517" width="11.5" style="107" bestFit="1" customWidth="1"/>
    <col min="10518" max="10753" width="10.83203125" style="107"/>
    <col min="10754" max="10754" width="3.1640625" style="107" customWidth="1"/>
    <col min="10755" max="10755" width="40.33203125" style="107" customWidth="1"/>
    <col min="10756" max="10756" width="11.1640625" style="107" customWidth="1"/>
    <col min="10757" max="10757" width="9.83203125" style="107" customWidth="1"/>
    <col min="10758" max="10758" width="11.6640625" style="107" bestFit="1" customWidth="1"/>
    <col min="10759" max="10759" width="9.5" style="107" customWidth="1"/>
    <col min="10760" max="10760" width="9.1640625" style="107" customWidth="1"/>
    <col min="10761" max="10761" width="8.6640625" style="107" customWidth="1"/>
    <col min="10762" max="10762" width="9.1640625" style="107" customWidth="1"/>
    <col min="10763" max="10764" width="9.33203125" style="107" customWidth="1"/>
    <col min="10765" max="10767" width="8.83203125" style="107" bestFit="1" customWidth="1"/>
    <col min="10768" max="10768" width="12.33203125" style="107" bestFit="1" customWidth="1"/>
    <col min="10769" max="10769" width="12.83203125" style="107" customWidth="1"/>
    <col min="10770" max="10770" width="10.83203125" style="107"/>
    <col min="10771" max="10771" width="12.5" style="107" bestFit="1" customWidth="1"/>
    <col min="10772" max="10772" width="10.83203125" style="107"/>
    <col min="10773" max="10773" width="11.5" style="107" bestFit="1" customWidth="1"/>
    <col min="10774" max="11009" width="10.83203125" style="107"/>
    <col min="11010" max="11010" width="3.1640625" style="107" customWidth="1"/>
    <col min="11011" max="11011" width="40.33203125" style="107" customWidth="1"/>
    <col min="11012" max="11012" width="11.1640625" style="107" customWidth="1"/>
    <col min="11013" max="11013" width="9.83203125" style="107" customWidth="1"/>
    <col min="11014" max="11014" width="11.6640625" style="107" bestFit="1" customWidth="1"/>
    <col min="11015" max="11015" width="9.5" style="107" customWidth="1"/>
    <col min="11016" max="11016" width="9.1640625" style="107" customWidth="1"/>
    <col min="11017" max="11017" width="8.6640625" style="107" customWidth="1"/>
    <col min="11018" max="11018" width="9.1640625" style="107" customWidth="1"/>
    <col min="11019" max="11020" width="9.33203125" style="107" customWidth="1"/>
    <col min="11021" max="11023" width="8.83203125" style="107" bestFit="1" customWidth="1"/>
    <col min="11024" max="11024" width="12.33203125" style="107" bestFit="1" customWidth="1"/>
    <col min="11025" max="11025" width="12.83203125" style="107" customWidth="1"/>
    <col min="11026" max="11026" width="10.83203125" style="107"/>
    <col min="11027" max="11027" width="12.5" style="107" bestFit="1" customWidth="1"/>
    <col min="11028" max="11028" width="10.83203125" style="107"/>
    <col min="11029" max="11029" width="11.5" style="107" bestFit="1" customWidth="1"/>
    <col min="11030" max="11265" width="10.83203125" style="107"/>
    <col min="11266" max="11266" width="3.1640625" style="107" customWidth="1"/>
    <col min="11267" max="11267" width="40.33203125" style="107" customWidth="1"/>
    <col min="11268" max="11268" width="11.1640625" style="107" customWidth="1"/>
    <col min="11269" max="11269" width="9.83203125" style="107" customWidth="1"/>
    <col min="11270" max="11270" width="11.6640625" style="107" bestFit="1" customWidth="1"/>
    <col min="11271" max="11271" width="9.5" style="107" customWidth="1"/>
    <col min="11272" max="11272" width="9.1640625" style="107" customWidth="1"/>
    <col min="11273" max="11273" width="8.6640625" style="107" customWidth="1"/>
    <col min="11274" max="11274" width="9.1640625" style="107" customWidth="1"/>
    <col min="11275" max="11276" width="9.33203125" style="107" customWidth="1"/>
    <col min="11277" max="11279" width="8.83203125" style="107" bestFit="1" customWidth="1"/>
    <col min="11280" max="11280" width="12.33203125" style="107" bestFit="1" customWidth="1"/>
    <col min="11281" max="11281" width="12.83203125" style="107" customWidth="1"/>
    <col min="11282" max="11282" width="10.83203125" style="107"/>
    <col min="11283" max="11283" width="12.5" style="107" bestFit="1" customWidth="1"/>
    <col min="11284" max="11284" width="10.83203125" style="107"/>
    <col min="11285" max="11285" width="11.5" style="107" bestFit="1" customWidth="1"/>
    <col min="11286" max="11521" width="10.83203125" style="107"/>
    <col min="11522" max="11522" width="3.1640625" style="107" customWidth="1"/>
    <col min="11523" max="11523" width="40.33203125" style="107" customWidth="1"/>
    <col min="11524" max="11524" width="11.1640625" style="107" customWidth="1"/>
    <col min="11525" max="11525" width="9.83203125" style="107" customWidth="1"/>
    <col min="11526" max="11526" width="11.6640625" style="107" bestFit="1" customWidth="1"/>
    <col min="11527" max="11527" width="9.5" style="107" customWidth="1"/>
    <col min="11528" max="11528" width="9.1640625" style="107" customWidth="1"/>
    <col min="11529" max="11529" width="8.6640625" style="107" customWidth="1"/>
    <col min="11530" max="11530" width="9.1640625" style="107" customWidth="1"/>
    <col min="11531" max="11532" width="9.33203125" style="107" customWidth="1"/>
    <col min="11533" max="11535" width="8.83203125" style="107" bestFit="1" customWidth="1"/>
    <col min="11536" max="11536" width="12.33203125" style="107" bestFit="1" customWidth="1"/>
    <col min="11537" max="11537" width="12.83203125" style="107" customWidth="1"/>
    <col min="11538" max="11538" width="10.83203125" style="107"/>
    <col min="11539" max="11539" width="12.5" style="107" bestFit="1" customWidth="1"/>
    <col min="11540" max="11540" width="10.83203125" style="107"/>
    <col min="11541" max="11541" width="11.5" style="107" bestFit="1" customWidth="1"/>
    <col min="11542" max="11777" width="10.83203125" style="107"/>
    <col min="11778" max="11778" width="3.1640625" style="107" customWidth="1"/>
    <col min="11779" max="11779" width="40.33203125" style="107" customWidth="1"/>
    <col min="11780" max="11780" width="11.1640625" style="107" customWidth="1"/>
    <col min="11781" max="11781" width="9.83203125" style="107" customWidth="1"/>
    <col min="11782" max="11782" width="11.6640625" style="107" bestFit="1" customWidth="1"/>
    <col min="11783" max="11783" width="9.5" style="107" customWidth="1"/>
    <col min="11784" max="11784" width="9.1640625" style="107" customWidth="1"/>
    <col min="11785" max="11785" width="8.6640625" style="107" customWidth="1"/>
    <col min="11786" max="11786" width="9.1640625" style="107" customWidth="1"/>
    <col min="11787" max="11788" width="9.33203125" style="107" customWidth="1"/>
    <col min="11789" max="11791" width="8.83203125" style="107" bestFit="1" customWidth="1"/>
    <col min="11792" max="11792" width="12.33203125" style="107" bestFit="1" customWidth="1"/>
    <col min="11793" max="11793" width="12.83203125" style="107" customWidth="1"/>
    <col min="11794" max="11794" width="10.83203125" style="107"/>
    <col min="11795" max="11795" width="12.5" style="107" bestFit="1" customWidth="1"/>
    <col min="11796" max="11796" width="10.83203125" style="107"/>
    <col min="11797" max="11797" width="11.5" style="107" bestFit="1" customWidth="1"/>
    <col min="11798" max="12033" width="10.83203125" style="107"/>
    <col min="12034" max="12034" width="3.1640625" style="107" customWidth="1"/>
    <col min="12035" max="12035" width="40.33203125" style="107" customWidth="1"/>
    <col min="12036" max="12036" width="11.1640625" style="107" customWidth="1"/>
    <col min="12037" max="12037" width="9.83203125" style="107" customWidth="1"/>
    <col min="12038" max="12038" width="11.6640625" style="107" bestFit="1" customWidth="1"/>
    <col min="12039" max="12039" width="9.5" style="107" customWidth="1"/>
    <col min="12040" max="12040" width="9.1640625" style="107" customWidth="1"/>
    <col min="12041" max="12041" width="8.6640625" style="107" customWidth="1"/>
    <col min="12042" max="12042" width="9.1640625" style="107" customWidth="1"/>
    <col min="12043" max="12044" width="9.33203125" style="107" customWidth="1"/>
    <col min="12045" max="12047" width="8.83203125" style="107" bestFit="1" customWidth="1"/>
    <col min="12048" max="12048" width="12.33203125" style="107" bestFit="1" customWidth="1"/>
    <col min="12049" max="12049" width="12.83203125" style="107" customWidth="1"/>
    <col min="12050" max="12050" width="10.83203125" style="107"/>
    <col min="12051" max="12051" width="12.5" style="107" bestFit="1" customWidth="1"/>
    <col min="12052" max="12052" width="10.83203125" style="107"/>
    <col min="12053" max="12053" width="11.5" style="107" bestFit="1" customWidth="1"/>
    <col min="12054" max="12289" width="10.83203125" style="107"/>
    <col min="12290" max="12290" width="3.1640625" style="107" customWidth="1"/>
    <col min="12291" max="12291" width="40.33203125" style="107" customWidth="1"/>
    <col min="12292" max="12292" width="11.1640625" style="107" customWidth="1"/>
    <col min="12293" max="12293" width="9.83203125" style="107" customWidth="1"/>
    <col min="12294" max="12294" width="11.6640625" style="107" bestFit="1" customWidth="1"/>
    <col min="12295" max="12295" width="9.5" style="107" customWidth="1"/>
    <col min="12296" max="12296" width="9.1640625" style="107" customWidth="1"/>
    <col min="12297" max="12297" width="8.6640625" style="107" customWidth="1"/>
    <col min="12298" max="12298" width="9.1640625" style="107" customWidth="1"/>
    <col min="12299" max="12300" width="9.33203125" style="107" customWidth="1"/>
    <col min="12301" max="12303" width="8.83203125" style="107" bestFit="1" customWidth="1"/>
    <col min="12304" max="12304" width="12.33203125" style="107" bestFit="1" customWidth="1"/>
    <col min="12305" max="12305" width="12.83203125" style="107" customWidth="1"/>
    <col min="12306" max="12306" width="10.83203125" style="107"/>
    <col min="12307" max="12307" width="12.5" style="107" bestFit="1" customWidth="1"/>
    <col min="12308" max="12308" width="10.83203125" style="107"/>
    <col min="12309" max="12309" width="11.5" style="107" bestFit="1" customWidth="1"/>
    <col min="12310" max="12545" width="10.83203125" style="107"/>
    <col min="12546" max="12546" width="3.1640625" style="107" customWidth="1"/>
    <col min="12547" max="12547" width="40.33203125" style="107" customWidth="1"/>
    <col min="12548" max="12548" width="11.1640625" style="107" customWidth="1"/>
    <col min="12549" max="12549" width="9.83203125" style="107" customWidth="1"/>
    <col min="12550" max="12550" width="11.6640625" style="107" bestFit="1" customWidth="1"/>
    <col min="12551" max="12551" width="9.5" style="107" customWidth="1"/>
    <col min="12552" max="12552" width="9.1640625" style="107" customWidth="1"/>
    <col min="12553" max="12553" width="8.6640625" style="107" customWidth="1"/>
    <col min="12554" max="12554" width="9.1640625" style="107" customWidth="1"/>
    <col min="12555" max="12556" width="9.33203125" style="107" customWidth="1"/>
    <col min="12557" max="12559" width="8.83203125" style="107" bestFit="1" customWidth="1"/>
    <col min="12560" max="12560" width="12.33203125" style="107" bestFit="1" customWidth="1"/>
    <col min="12561" max="12561" width="12.83203125" style="107" customWidth="1"/>
    <col min="12562" max="12562" width="10.83203125" style="107"/>
    <col min="12563" max="12563" width="12.5" style="107" bestFit="1" customWidth="1"/>
    <col min="12564" max="12564" width="10.83203125" style="107"/>
    <col min="12565" max="12565" width="11.5" style="107" bestFit="1" customWidth="1"/>
    <col min="12566" max="12801" width="10.83203125" style="107"/>
    <col min="12802" max="12802" width="3.1640625" style="107" customWidth="1"/>
    <col min="12803" max="12803" width="40.33203125" style="107" customWidth="1"/>
    <col min="12804" max="12804" width="11.1640625" style="107" customWidth="1"/>
    <col min="12805" max="12805" width="9.83203125" style="107" customWidth="1"/>
    <col min="12806" max="12806" width="11.6640625" style="107" bestFit="1" customWidth="1"/>
    <col min="12807" max="12807" width="9.5" style="107" customWidth="1"/>
    <col min="12808" max="12808" width="9.1640625" style="107" customWidth="1"/>
    <col min="12809" max="12809" width="8.6640625" style="107" customWidth="1"/>
    <col min="12810" max="12810" width="9.1640625" style="107" customWidth="1"/>
    <col min="12811" max="12812" width="9.33203125" style="107" customWidth="1"/>
    <col min="12813" max="12815" width="8.83203125" style="107" bestFit="1" customWidth="1"/>
    <col min="12816" max="12816" width="12.33203125" style="107" bestFit="1" customWidth="1"/>
    <col min="12817" max="12817" width="12.83203125" style="107" customWidth="1"/>
    <col min="12818" max="12818" width="10.83203125" style="107"/>
    <col min="12819" max="12819" width="12.5" style="107" bestFit="1" customWidth="1"/>
    <col min="12820" max="12820" width="10.83203125" style="107"/>
    <col min="12821" max="12821" width="11.5" style="107" bestFit="1" customWidth="1"/>
    <col min="12822" max="13057" width="10.83203125" style="107"/>
    <col min="13058" max="13058" width="3.1640625" style="107" customWidth="1"/>
    <col min="13059" max="13059" width="40.33203125" style="107" customWidth="1"/>
    <col min="13060" max="13060" width="11.1640625" style="107" customWidth="1"/>
    <col min="13061" max="13061" width="9.83203125" style="107" customWidth="1"/>
    <col min="13062" max="13062" width="11.6640625" style="107" bestFit="1" customWidth="1"/>
    <col min="13063" max="13063" width="9.5" style="107" customWidth="1"/>
    <col min="13064" max="13064" width="9.1640625" style="107" customWidth="1"/>
    <col min="13065" max="13065" width="8.6640625" style="107" customWidth="1"/>
    <col min="13066" max="13066" width="9.1640625" style="107" customWidth="1"/>
    <col min="13067" max="13068" width="9.33203125" style="107" customWidth="1"/>
    <col min="13069" max="13071" width="8.83203125" style="107" bestFit="1" customWidth="1"/>
    <col min="13072" max="13072" width="12.33203125" style="107" bestFit="1" customWidth="1"/>
    <col min="13073" max="13073" width="12.83203125" style="107" customWidth="1"/>
    <col min="13074" max="13074" width="10.83203125" style="107"/>
    <col min="13075" max="13075" width="12.5" style="107" bestFit="1" customWidth="1"/>
    <col min="13076" max="13076" width="10.83203125" style="107"/>
    <col min="13077" max="13077" width="11.5" style="107" bestFit="1" customWidth="1"/>
    <col min="13078" max="13313" width="10.83203125" style="107"/>
    <col min="13314" max="13314" width="3.1640625" style="107" customWidth="1"/>
    <col min="13315" max="13315" width="40.33203125" style="107" customWidth="1"/>
    <col min="13316" max="13316" width="11.1640625" style="107" customWidth="1"/>
    <col min="13317" max="13317" width="9.83203125" style="107" customWidth="1"/>
    <col min="13318" max="13318" width="11.6640625" style="107" bestFit="1" customWidth="1"/>
    <col min="13319" max="13319" width="9.5" style="107" customWidth="1"/>
    <col min="13320" max="13320" width="9.1640625" style="107" customWidth="1"/>
    <col min="13321" max="13321" width="8.6640625" style="107" customWidth="1"/>
    <col min="13322" max="13322" width="9.1640625" style="107" customWidth="1"/>
    <col min="13323" max="13324" width="9.33203125" style="107" customWidth="1"/>
    <col min="13325" max="13327" width="8.83203125" style="107" bestFit="1" customWidth="1"/>
    <col min="13328" max="13328" width="12.33203125" style="107" bestFit="1" customWidth="1"/>
    <col min="13329" max="13329" width="12.83203125" style="107" customWidth="1"/>
    <col min="13330" max="13330" width="10.83203125" style="107"/>
    <col min="13331" max="13331" width="12.5" style="107" bestFit="1" customWidth="1"/>
    <col min="13332" max="13332" width="10.83203125" style="107"/>
    <col min="13333" max="13333" width="11.5" style="107" bestFit="1" customWidth="1"/>
    <col min="13334" max="13569" width="10.83203125" style="107"/>
    <col min="13570" max="13570" width="3.1640625" style="107" customWidth="1"/>
    <col min="13571" max="13571" width="40.33203125" style="107" customWidth="1"/>
    <col min="13572" max="13572" width="11.1640625" style="107" customWidth="1"/>
    <col min="13573" max="13573" width="9.83203125" style="107" customWidth="1"/>
    <col min="13574" max="13574" width="11.6640625" style="107" bestFit="1" customWidth="1"/>
    <col min="13575" max="13575" width="9.5" style="107" customWidth="1"/>
    <col min="13576" max="13576" width="9.1640625" style="107" customWidth="1"/>
    <col min="13577" max="13577" width="8.6640625" style="107" customWidth="1"/>
    <col min="13578" max="13578" width="9.1640625" style="107" customWidth="1"/>
    <col min="13579" max="13580" width="9.33203125" style="107" customWidth="1"/>
    <col min="13581" max="13583" width="8.83203125" style="107" bestFit="1" customWidth="1"/>
    <col min="13584" max="13584" width="12.33203125" style="107" bestFit="1" customWidth="1"/>
    <col min="13585" max="13585" width="12.83203125" style="107" customWidth="1"/>
    <col min="13586" max="13586" width="10.83203125" style="107"/>
    <col min="13587" max="13587" width="12.5" style="107" bestFit="1" customWidth="1"/>
    <col min="13588" max="13588" width="10.83203125" style="107"/>
    <col min="13589" max="13589" width="11.5" style="107" bestFit="1" customWidth="1"/>
    <col min="13590" max="13825" width="10.83203125" style="107"/>
    <col min="13826" max="13826" width="3.1640625" style="107" customWidth="1"/>
    <col min="13827" max="13827" width="40.33203125" style="107" customWidth="1"/>
    <col min="13828" max="13828" width="11.1640625" style="107" customWidth="1"/>
    <col min="13829" max="13829" width="9.83203125" style="107" customWidth="1"/>
    <col min="13830" max="13830" width="11.6640625" style="107" bestFit="1" customWidth="1"/>
    <col min="13831" max="13831" width="9.5" style="107" customWidth="1"/>
    <col min="13832" max="13832" width="9.1640625" style="107" customWidth="1"/>
    <col min="13833" max="13833" width="8.6640625" style="107" customWidth="1"/>
    <col min="13834" max="13834" width="9.1640625" style="107" customWidth="1"/>
    <col min="13835" max="13836" width="9.33203125" style="107" customWidth="1"/>
    <col min="13837" max="13839" width="8.83203125" style="107" bestFit="1" customWidth="1"/>
    <col min="13840" max="13840" width="12.33203125" style="107" bestFit="1" customWidth="1"/>
    <col min="13841" max="13841" width="12.83203125" style="107" customWidth="1"/>
    <col min="13842" max="13842" width="10.83203125" style="107"/>
    <col min="13843" max="13843" width="12.5" style="107" bestFit="1" customWidth="1"/>
    <col min="13844" max="13844" width="10.83203125" style="107"/>
    <col min="13845" max="13845" width="11.5" style="107" bestFit="1" customWidth="1"/>
    <col min="13846" max="14081" width="10.83203125" style="107"/>
    <col min="14082" max="14082" width="3.1640625" style="107" customWidth="1"/>
    <col min="14083" max="14083" width="40.33203125" style="107" customWidth="1"/>
    <col min="14084" max="14084" width="11.1640625" style="107" customWidth="1"/>
    <col min="14085" max="14085" width="9.83203125" style="107" customWidth="1"/>
    <col min="14086" max="14086" width="11.6640625" style="107" bestFit="1" customWidth="1"/>
    <col min="14087" max="14087" width="9.5" style="107" customWidth="1"/>
    <col min="14088" max="14088" width="9.1640625" style="107" customWidth="1"/>
    <col min="14089" max="14089" width="8.6640625" style="107" customWidth="1"/>
    <col min="14090" max="14090" width="9.1640625" style="107" customWidth="1"/>
    <col min="14091" max="14092" width="9.33203125" style="107" customWidth="1"/>
    <col min="14093" max="14095" width="8.83203125" style="107" bestFit="1" customWidth="1"/>
    <col min="14096" max="14096" width="12.33203125" style="107" bestFit="1" customWidth="1"/>
    <col min="14097" max="14097" width="12.83203125" style="107" customWidth="1"/>
    <col min="14098" max="14098" width="10.83203125" style="107"/>
    <col min="14099" max="14099" width="12.5" style="107" bestFit="1" customWidth="1"/>
    <col min="14100" max="14100" width="10.83203125" style="107"/>
    <col min="14101" max="14101" width="11.5" style="107" bestFit="1" customWidth="1"/>
    <col min="14102" max="14337" width="10.83203125" style="107"/>
    <col min="14338" max="14338" width="3.1640625" style="107" customWidth="1"/>
    <col min="14339" max="14339" width="40.33203125" style="107" customWidth="1"/>
    <col min="14340" max="14340" width="11.1640625" style="107" customWidth="1"/>
    <col min="14341" max="14341" width="9.83203125" style="107" customWidth="1"/>
    <col min="14342" max="14342" width="11.6640625" style="107" bestFit="1" customWidth="1"/>
    <col min="14343" max="14343" width="9.5" style="107" customWidth="1"/>
    <col min="14344" max="14344" width="9.1640625" style="107" customWidth="1"/>
    <col min="14345" max="14345" width="8.6640625" style="107" customWidth="1"/>
    <col min="14346" max="14346" width="9.1640625" style="107" customWidth="1"/>
    <col min="14347" max="14348" width="9.33203125" style="107" customWidth="1"/>
    <col min="14349" max="14351" width="8.83203125" style="107" bestFit="1" customWidth="1"/>
    <col min="14352" max="14352" width="12.33203125" style="107" bestFit="1" customWidth="1"/>
    <col min="14353" max="14353" width="12.83203125" style="107" customWidth="1"/>
    <col min="14354" max="14354" width="10.83203125" style="107"/>
    <col min="14355" max="14355" width="12.5" style="107" bestFit="1" customWidth="1"/>
    <col min="14356" max="14356" width="10.83203125" style="107"/>
    <col min="14357" max="14357" width="11.5" style="107" bestFit="1" customWidth="1"/>
    <col min="14358" max="14593" width="10.83203125" style="107"/>
    <col min="14594" max="14594" width="3.1640625" style="107" customWidth="1"/>
    <col min="14595" max="14595" width="40.33203125" style="107" customWidth="1"/>
    <col min="14596" max="14596" width="11.1640625" style="107" customWidth="1"/>
    <col min="14597" max="14597" width="9.83203125" style="107" customWidth="1"/>
    <col min="14598" max="14598" width="11.6640625" style="107" bestFit="1" customWidth="1"/>
    <col min="14599" max="14599" width="9.5" style="107" customWidth="1"/>
    <col min="14600" max="14600" width="9.1640625" style="107" customWidth="1"/>
    <col min="14601" max="14601" width="8.6640625" style="107" customWidth="1"/>
    <col min="14602" max="14602" width="9.1640625" style="107" customWidth="1"/>
    <col min="14603" max="14604" width="9.33203125" style="107" customWidth="1"/>
    <col min="14605" max="14607" width="8.83203125" style="107" bestFit="1" customWidth="1"/>
    <col min="14608" max="14608" width="12.33203125" style="107" bestFit="1" customWidth="1"/>
    <col min="14609" max="14609" width="12.83203125" style="107" customWidth="1"/>
    <col min="14610" max="14610" width="10.83203125" style="107"/>
    <col min="14611" max="14611" width="12.5" style="107" bestFit="1" customWidth="1"/>
    <col min="14612" max="14612" width="10.83203125" style="107"/>
    <col min="14613" max="14613" width="11.5" style="107" bestFit="1" customWidth="1"/>
    <col min="14614" max="14849" width="10.83203125" style="107"/>
    <col min="14850" max="14850" width="3.1640625" style="107" customWidth="1"/>
    <col min="14851" max="14851" width="40.33203125" style="107" customWidth="1"/>
    <col min="14852" max="14852" width="11.1640625" style="107" customWidth="1"/>
    <col min="14853" max="14853" width="9.83203125" style="107" customWidth="1"/>
    <col min="14854" max="14854" width="11.6640625" style="107" bestFit="1" customWidth="1"/>
    <col min="14855" max="14855" width="9.5" style="107" customWidth="1"/>
    <col min="14856" max="14856" width="9.1640625" style="107" customWidth="1"/>
    <col min="14857" max="14857" width="8.6640625" style="107" customWidth="1"/>
    <col min="14858" max="14858" width="9.1640625" style="107" customWidth="1"/>
    <col min="14859" max="14860" width="9.33203125" style="107" customWidth="1"/>
    <col min="14861" max="14863" width="8.83203125" style="107" bestFit="1" customWidth="1"/>
    <col min="14864" max="14864" width="12.33203125" style="107" bestFit="1" customWidth="1"/>
    <col min="14865" max="14865" width="12.83203125" style="107" customWidth="1"/>
    <col min="14866" max="14866" width="10.83203125" style="107"/>
    <col min="14867" max="14867" width="12.5" style="107" bestFit="1" customWidth="1"/>
    <col min="14868" max="14868" width="10.83203125" style="107"/>
    <col min="14869" max="14869" width="11.5" style="107" bestFit="1" customWidth="1"/>
    <col min="14870" max="15105" width="10.83203125" style="107"/>
    <col min="15106" max="15106" width="3.1640625" style="107" customWidth="1"/>
    <col min="15107" max="15107" width="40.33203125" style="107" customWidth="1"/>
    <col min="15108" max="15108" width="11.1640625" style="107" customWidth="1"/>
    <col min="15109" max="15109" width="9.83203125" style="107" customWidth="1"/>
    <col min="15110" max="15110" width="11.6640625" style="107" bestFit="1" customWidth="1"/>
    <col min="15111" max="15111" width="9.5" style="107" customWidth="1"/>
    <col min="15112" max="15112" width="9.1640625" style="107" customWidth="1"/>
    <col min="15113" max="15113" width="8.6640625" style="107" customWidth="1"/>
    <col min="15114" max="15114" width="9.1640625" style="107" customWidth="1"/>
    <col min="15115" max="15116" width="9.33203125" style="107" customWidth="1"/>
    <col min="15117" max="15119" width="8.83203125" style="107" bestFit="1" customWidth="1"/>
    <col min="15120" max="15120" width="12.33203125" style="107" bestFit="1" customWidth="1"/>
    <col min="15121" max="15121" width="12.83203125" style="107" customWidth="1"/>
    <col min="15122" max="15122" width="10.83203125" style="107"/>
    <col min="15123" max="15123" width="12.5" style="107" bestFit="1" customWidth="1"/>
    <col min="15124" max="15124" width="10.83203125" style="107"/>
    <col min="15125" max="15125" width="11.5" style="107" bestFit="1" customWidth="1"/>
    <col min="15126" max="15361" width="10.83203125" style="107"/>
    <col min="15362" max="15362" width="3.1640625" style="107" customWidth="1"/>
    <col min="15363" max="15363" width="40.33203125" style="107" customWidth="1"/>
    <col min="15364" max="15364" width="11.1640625" style="107" customWidth="1"/>
    <col min="15365" max="15365" width="9.83203125" style="107" customWidth="1"/>
    <col min="15366" max="15366" width="11.6640625" style="107" bestFit="1" customWidth="1"/>
    <col min="15367" max="15367" width="9.5" style="107" customWidth="1"/>
    <col min="15368" max="15368" width="9.1640625" style="107" customWidth="1"/>
    <col min="15369" max="15369" width="8.6640625" style="107" customWidth="1"/>
    <col min="15370" max="15370" width="9.1640625" style="107" customWidth="1"/>
    <col min="15371" max="15372" width="9.33203125" style="107" customWidth="1"/>
    <col min="15373" max="15375" width="8.83203125" style="107" bestFit="1" customWidth="1"/>
    <col min="15376" max="15376" width="12.33203125" style="107" bestFit="1" customWidth="1"/>
    <col min="15377" max="15377" width="12.83203125" style="107" customWidth="1"/>
    <col min="15378" max="15378" width="10.83203125" style="107"/>
    <col min="15379" max="15379" width="12.5" style="107" bestFit="1" customWidth="1"/>
    <col min="15380" max="15380" width="10.83203125" style="107"/>
    <col min="15381" max="15381" width="11.5" style="107" bestFit="1" customWidth="1"/>
    <col min="15382" max="15617" width="10.83203125" style="107"/>
    <col min="15618" max="15618" width="3.1640625" style="107" customWidth="1"/>
    <col min="15619" max="15619" width="40.33203125" style="107" customWidth="1"/>
    <col min="15620" max="15620" width="11.1640625" style="107" customWidth="1"/>
    <col min="15621" max="15621" width="9.83203125" style="107" customWidth="1"/>
    <col min="15622" max="15622" width="11.6640625" style="107" bestFit="1" customWidth="1"/>
    <col min="15623" max="15623" width="9.5" style="107" customWidth="1"/>
    <col min="15624" max="15624" width="9.1640625" style="107" customWidth="1"/>
    <col min="15625" max="15625" width="8.6640625" style="107" customWidth="1"/>
    <col min="15626" max="15626" width="9.1640625" style="107" customWidth="1"/>
    <col min="15627" max="15628" width="9.33203125" style="107" customWidth="1"/>
    <col min="15629" max="15631" width="8.83203125" style="107" bestFit="1" customWidth="1"/>
    <col min="15632" max="15632" width="12.33203125" style="107" bestFit="1" customWidth="1"/>
    <col min="15633" max="15633" width="12.83203125" style="107" customWidth="1"/>
    <col min="15634" max="15634" width="10.83203125" style="107"/>
    <col min="15635" max="15635" width="12.5" style="107" bestFit="1" customWidth="1"/>
    <col min="15636" max="15636" width="10.83203125" style="107"/>
    <col min="15637" max="15637" width="11.5" style="107" bestFit="1" customWidth="1"/>
    <col min="15638" max="15873" width="10.83203125" style="107"/>
    <col min="15874" max="15874" width="3.1640625" style="107" customWidth="1"/>
    <col min="15875" max="15875" width="40.33203125" style="107" customWidth="1"/>
    <col min="15876" max="15876" width="11.1640625" style="107" customWidth="1"/>
    <col min="15877" max="15877" width="9.83203125" style="107" customWidth="1"/>
    <col min="15878" max="15878" width="11.6640625" style="107" bestFit="1" customWidth="1"/>
    <col min="15879" max="15879" width="9.5" style="107" customWidth="1"/>
    <col min="15880" max="15880" width="9.1640625" style="107" customWidth="1"/>
    <col min="15881" max="15881" width="8.6640625" style="107" customWidth="1"/>
    <col min="15882" max="15882" width="9.1640625" style="107" customWidth="1"/>
    <col min="15883" max="15884" width="9.33203125" style="107" customWidth="1"/>
    <col min="15885" max="15887" width="8.83203125" style="107" bestFit="1" customWidth="1"/>
    <col min="15888" max="15888" width="12.33203125" style="107" bestFit="1" customWidth="1"/>
    <col min="15889" max="15889" width="12.83203125" style="107" customWidth="1"/>
    <col min="15890" max="15890" width="10.83203125" style="107"/>
    <col min="15891" max="15891" width="12.5" style="107" bestFit="1" customWidth="1"/>
    <col min="15892" max="15892" width="10.83203125" style="107"/>
    <col min="15893" max="15893" width="11.5" style="107" bestFit="1" customWidth="1"/>
    <col min="15894" max="16129" width="10.83203125" style="107"/>
    <col min="16130" max="16130" width="3.1640625" style="107" customWidth="1"/>
    <col min="16131" max="16131" width="40.33203125" style="107" customWidth="1"/>
    <col min="16132" max="16132" width="11.1640625" style="107" customWidth="1"/>
    <col min="16133" max="16133" width="9.83203125" style="107" customWidth="1"/>
    <col min="16134" max="16134" width="11.6640625" style="107" bestFit="1" customWidth="1"/>
    <col min="16135" max="16135" width="9.5" style="107" customWidth="1"/>
    <col min="16136" max="16136" width="9.1640625" style="107" customWidth="1"/>
    <col min="16137" max="16137" width="8.6640625" style="107" customWidth="1"/>
    <col min="16138" max="16138" width="9.1640625" style="107" customWidth="1"/>
    <col min="16139" max="16140" width="9.33203125" style="107" customWidth="1"/>
    <col min="16141" max="16143" width="8.83203125" style="107" bestFit="1" customWidth="1"/>
    <col min="16144" max="16144" width="12.33203125" style="107" bestFit="1" customWidth="1"/>
    <col min="16145" max="16145" width="12.83203125" style="107" customWidth="1"/>
    <col min="16146" max="16146" width="10.83203125" style="107"/>
    <col min="16147" max="16147" width="12.5" style="107" bestFit="1" customWidth="1"/>
    <col min="16148" max="16148" width="10.83203125" style="107"/>
    <col min="16149" max="16149" width="11.5" style="107" bestFit="1" customWidth="1"/>
    <col min="16150" max="16384" width="10.83203125" style="107"/>
  </cols>
  <sheetData>
    <row r="2" spans="2:22" s="212" customFormat="1" ht="25" x14ac:dyDescent="0.2">
      <c r="B2" s="132" t="s">
        <v>140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13"/>
      <c r="S2" s="141" t="s">
        <v>121</v>
      </c>
      <c r="T2" s="140">
        <v>0.03</v>
      </c>
    </row>
    <row r="4" spans="2:22" x14ac:dyDescent="0.2">
      <c r="E4" s="151">
        <v>1</v>
      </c>
      <c r="F4" s="151">
        <v>2</v>
      </c>
      <c r="G4" s="151">
        <v>3</v>
      </c>
      <c r="H4" s="151">
        <v>4</v>
      </c>
      <c r="I4" s="151">
        <v>5</v>
      </c>
      <c r="J4" s="151">
        <v>6</v>
      </c>
      <c r="K4" s="151">
        <v>7</v>
      </c>
      <c r="L4" s="151">
        <v>8</v>
      </c>
      <c r="M4" s="151">
        <v>9</v>
      </c>
      <c r="N4" s="151">
        <v>10</v>
      </c>
      <c r="O4" s="151">
        <v>11</v>
      </c>
      <c r="P4" s="151">
        <v>12</v>
      </c>
      <c r="Q4" s="151"/>
      <c r="R4" s="146"/>
    </row>
    <row r="5" spans="2:22" x14ac:dyDescent="0.2">
      <c r="C5" s="129" t="s">
        <v>141</v>
      </c>
      <c r="D5" s="129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V5" s="123"/>
    </row>
    <row r="6" spans="2:22" s="135" customFormat="1" x14ac:dyDescent="0.2">
      <c r="C6" s="135" t="s">
        <v>134</v>
      </c>
      <c r="E6" s="177">
        <v>403.40865671641791</v>
      </c>
      <c r="F6" s="177">
        <v>1206.6859701492535</v>
      </c>
      <c r="G6" s="177">
        <v>2008.1932835820894</v>
      </c>
      <c r="H6" s="177">
        <v>3016.7149253731341</v>
      </c>
      <c r="I6" s="177">
        <v>4025.2365671641792</v>
      </c>
      <c r="J6" s="177">
        <v>5233.6925373134327</v>
      </c>
      <c r="K6" s="177">
        <v>6033.4298507462681</v>
      </c>
      <c r="L6" s="177">
        <v>6833.1671641791036</v>
      </c>
      <c r="M6" s="177">
        <v>8036.3131343283576</v>
      </c>
      <c r="N6" s="177">
        <v>9239.4591044776116</v>
      </c>
      <c r="O6" s="177">
        <v>9649.9477611940292</v>
      </c>
      <c r="P6" s="177">
        <v>10053.356417910447</v>
      </c>
      <c r="Q6" s="177"/>
      <c r="S6" s="188">
        <f>+SUM(E6:P6)</f>
        <v>65739.605373134327</v>
      </c>
      <c r="V6" s="136"/>
    </row>
    <row r="7" spans="2:22" s="135" customFormat="1" x14ac:dyDescent="0.2">
      <c r="C7" s="124" t="s">
        <v>132</v>
      </c>
      <c r="D7" s="124"/>
      <c r="E7" s="175">
        <v>-500</v>
      </c>
      <c r="F7" s="175">
        <v>-500</v>
      </c>
      <c r="G7" s="175">
        <v>-500</v>
      </c>
      <c r="H7" s="175">
        <v>-500</v>
      </c>
      <c r="I7" s="175">
        <v>-500</v>
      </c>
      <c r="J7" s="175">
        <v>-500</v>
      </c>
      <c r="K7" s="175">
        <v>-500</v>
      </c>
      <c r="L7" s="175">
        <v>-250</v>
      </c>
      <c r="M7" s="175">
        <v>-250</v>
      </c>
      <c r="N7" s="175">
        <v>-250</v>
      </c>
      <c r="O7" s="175">
        <v>-250</v>
      </c>
      <c r="P7" s="175">
        <v>-200</v>
      </c>
      <c r="Q7" s="177"/>
      <c r="S7" s="188">
        <f t="shared" ref="S7:S14" si="0">+SUM(E7:P7)</f>
        <v>-4700</v>
      </c>
      <c r="V7" s="136"/>
    </row>
    <row r="8" spans="2:22" s="135" customFormat="1" x14ac:dyDescent="0.2">
      <c r="C8" s="107" t="s">
        <v>83</v>
      </c>
      <c r="D8" s="107"/>
      <c r="E8" s="176">
        <v>-2000</v>
      </c>
      <c r="F8" s="176">
        <v>-2000</v>
      </c>
      <c r="G8" s="176">
        <v>-2000</v>
      </c>
      <c r="H8" s="176">
        <v>-2000</v>
      </c>
      <c r="I8" s="176">
        <v>-2000</v>
      </c>
      <c r="J8" s="176">
        <v>-2000</v>
      </c>
      <c r="K8" s="176">
        <v>-2000</v>
      </c>
      <c r="L8" s="176">
        <v>-2000</v>
      </c>
      <c r="M8" s="176">
        <v>-2000</v>
      </c>
      <c r="N8" s="176">
        <v>-2000</v>
      </c>
      <c r="O8" s="176">
        <v>-2000</v>
      </c>
      <c r="P8" s="176">
        <v>-2000</v>
      </c>
      <c r="Q8" s="176"/>
      <c r="S8" s="188">
        <f t="shared" si="0"/>
        <v>-24000</v>
      </c>
      <c r="V8" s="136"/>
    </row>
    <row r="9" spans="2:22" s="135" customFormat="1" x14ac:dyDescent="0.2">
      <c r="C9" s="107" t="s">
        <v>104</v>
      </c>
      <c r="D9" s="107"/>
      <c r="E9" s="177">
        <v>-1150</v>
      </c>
      <c r="F9" s="177">
        <v>-1150</v>
      </c>
      <c r="G9" s="177">
        <v>-1150</v>
      </c>
      <c r="H9" s="177">
        <v>-1150</v>
      </c>
      <c r="I9" s="177">
        <v>-1150</v>
      </c>
      <c r="J9" s="177">
        <v>-1150</v>
      </c>
      <c r="K9" s="177">
        <v>-1150</v>
      </c>
      <c r="L9" s="177">
        <v>-1150</v>
      </c>
      <c r="M9" s="177">
        <v>-1150</v>
      </c>
      <c r="N9" s="177">
        <v>-1150</v>
      </c>
      <c r="O9" s="177">
        <v>-1150</v>
      </c>
      <c r="P9" s="177">
        <v>-1150</v>
      </c>
      <c r="Q9" s="177"/>
      <c r="S9" s="188">
        <f t="shared" si="0"/>
        <v>-13800</v>
      </c>
      <c r="V9" s="136"/>
    </row>
    <row r="10" spans="2:22" s="135" customFormat="1" x14ac:dyDescent="0.2">
      <c r="C10" s="107" t="s">
        <v>107</v>
      </c>
      <c r="D10" s="107"/>
      <c r="E10" s="177">
        <v>-1000</v>
      </c>
      <c r="F10" s="177">
        <v>-1000</v>
      </c>
      <c r="G10" s="177">
        <v>-1000</v>
      </c>
      <c r="H10" s="177">
        <v>-1000</v>
      </c>
      <c r="I10" s="177">
        <v>-1000</v>
      </c>
      <c r="J10" s="177">
        <v>-1000</v>
      </c>
      <c r="K10" s="177">
        <v>-1000</v>
      </c>
      <c r="L10" s="177">
        <v>-1000</v>
      </c>
      <c r="M10" s="177">
        <v>-1000</v>
      </c>
      <c r="N10" s="177">
        <v>-1000</v>
      </c>
      <c r="O10" s="177">
        <v>-700</v>
      </c>
      <c r="P10" s="177">
        <v>-700</v>
      </c>
      <c r="Q10" s="177"/>
      <c r="S10" s="188">
        <f t="shared" si="0"/>
        <v>-11400</v>
      </c>
      <c r="V10" s="136"/>
    </row>
    <row r="11" spans="2:22" s="135" customFormat="1" x14ac:dyDescent="0.2">
      <c r="C11" s="107" t="s">
        <v>114</v>
      </c>
      <c r="D11" s="107"/>
      <c r="E11" s="175">
        <v>-500</v>
      </c>
      <c r="F11" s="175">
        <v>-500</v>
      </c>
      <c r="G11" s="175">
        <v>-500</v>
      </c>
      <c r="H11" s="175">
        <v>-500</v>
      </c>
      <c r="I11" s="175">
        <v>-500</v>
      </c>
      <c r="J11" s="175">
        <v>-500</v>
      </c>
      <c r="K11" s="175">
        <v>-500</v>
      </c>
      <c r="L11" s="175">
        <v>-500</v>
      </c>
      <c r="M11" s="175">
        <v>-500</v>
      </c>
      <c r="N11" s="175">
        <v>-500</v>
      </c>
      <c r="O11" s="175">
        <v>-500</v>
      </c>
      <c r="P11" s="175">
        <v>-500</v>
      </c>
      <c r="Q11" s="177"/>
      <c r="S11" s="188">
        <f t="shared" si="0"/>
        <v>-6000</v>
      </c>
      <c r="V11" s="136"/>
    </row>
    <row r="12" spans="2:22" s="135" customFormat="1" x14ac:dyDescent="0.2">
      <c r="C12" s="107" t="s">
        <v>115</v>
      </c>
      <c r="D12" s="107"/>
      <c r="E12" s="177">
        <v>-200</v>
      </c>
      <c r="F12" s="177">
        <v>-200</v>
      </c>
      <c r="G12" s="177">
        <v>-200</v>
      </c>
      <c r="H12" s="177">
        <v>-200</v>
      </c>
      <c r="I12" s="177">
        <v>-200</v>
      </c>
      <c r="J12" s="177">
        <v>-100</v>
      </c>
      <c r="K12" s="177">
        <v>-100</v>
      </c>
      <c r="L12" s="177">
        <v>-100</v>
      </c>
      <c r="M12" s="177">
        <v>-100</v>
      </c>
      <c r="N12" s="177">
        <v>-100</v>
      </c>
      <c r="O12" s="177">
        <v>-100</v>
      </c>
      <c r="P12" s="177">
        <v>-100</v>
      </c>
      <c r="Q12" s="177"/>
      <c r="S12" s="188">
        <f t="shared" si="0"/>
        <v>-1700</v>
      </c>
      <c r="V12" s="136"/>
    </row>
    <row r="13" spans="2:22" s="135" customFormat="1" x14ac:dyDescent="0.2">
      <c r="C13" s="107" t="s">
        <v>116</v>
      </c>
      <c r="D13" s="107"/>
      <c r="E13" s="177">
        <v>-300</v>
      </c>
      <c r="F13" s="177">
        <v>-300</v>
      </c>
      <c r="G13" s="177">
        <v>-200</v>
      </c>
      <c r="H13" s="177">
        <v>-200</v>
      </c>
      <c r="I13" s="177">
        <v>-200</v>
      </c>
      <c r="J13" s="177">
        <v>-200</v>
      </c>
      <c r="K13" s="177">
        <v>-200</v>
      </c>
      <c r="L13" s="177">
        <v>-200</v>
      </c>
      <c r="M13" s="177">
        <v>-200</v>
      </c>
      <c r="N13" s="177">
        <v>-200</v>
      </c>
      <c r="O13" s="177">
        <v>-200</v>
      </c>
      <c r="P13" s="177">
        <v>-200</v>
      </c>
      <c r="Q13" s="177"/>
      <c r="S13" s="188">
        <f t="shared" si="0"/>
        <v>-2600</v>
      </c>
      <c r="V13" s="136"/>
    </row>
    <row r="14" spans="2:22" s="135" customFormat="1" x14ac:dyDescent="0.2">
      <c r="C14" s="124" t="s">
        <v>121</v>
      </c>
      <c r="D14" s="124"/>
      <c r="E14" s="177">
        <v>-1021.0245080928401</v>
      </c>
      <c r="F14" s="177">
        <v>-1120.78070405884</v>
      </c>
      <c r="G14" s="177">
        <v>-1220.53690002484</v>
      </c>
      <c r="H14" s="177">
        <v>-1420.0492919568401</v>
      </c>
      <c r="I14" s="177">
        <v>-1529.1905072959701</v>
      </c>
      <c r="J14" s="177">
        <v>-1628.94670326197</v>
      </c>
      <c r="K14" s="177">
        <v>-1728.70289922797</v>
      </c>
      <c r="L14" s="177">
        <v>-1828.4590951939699</v>
      </c>
      <c r="M14" s="177">
        <v>-1928.2152911599701</v>
      </c>
      <c r="N14" s="177">
        <v>-2042.0490161856701</v>
      </c>
      <c r="O14" s="177">
        <v>-2241.56140811767</v>
      </c>
      <c r="P14" s="177">
        <v>-2441.0738000496699</v>
      </c>
      <c r="Q14" s="177"/>
      <c r="S14" s="188">
        <f t="shared" si="0"/>
        <v>-20150.590124626222</v>
      </c>
      <c r="V14" s="136"/>
    </row>
    <row r="15" spans="2:22" s="135" customFormat="1" x14ac:dyDescent="0.2">
      <c r="C15" s="137"/>
      <c r="D15" s="137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V15" s="136"/>
    </row>
    <row r="16" spans="2:22" s="135" customFormat="1" x14ac:dyDescent="0.2">
      <c r="C16" s="142" t="s">
        <v>142</v>
      </c>
      <c r="D16" s="142"/>
      <c r="E16" s="179">
        <f>+SUM(E6:E14)</f>
        <v>-6267.6158513764221</v>
      </c>
      <c r="F16" s="179">
        <f>+SUM(F6:F14)</f>
        <v>-5564.0947339095856</v>
      </c>
      <c r="G16" s="179">
        <f t="shared" ref="G16:P16" si="1">+SUM(G6:G14)</f>
        <v>-4762.3436164427503</v>
      </c>
      <c r="H16" s="179">
        <f t="shared" si="1"/>
        <v>-3953.334366583706</v>
      </c>
      <c r="I16" s="179">
        <f t="shared" si="1"/>
        <v>-3053.9539401317907</v>
      </c>
      <c r="J16" s="179">
        <f t="shared" si="1"/>
        <v>-1845.2541659485373</v>
      </c>
      <c r="K16" s="179">
        <f t="shared" si="1"/>
        <v>-1145.2730484817018</v>
      </c>
      <c r="L16" s="179">
        <f t="shared" si="1"/>
        <v>-195.29193101486635</v>
      </c>
      <c r="M16" s="179">
        <f t="shared" si="1"/>
        <v>908.0978431683875</v>
      </c>
      <c r="N16" s="179">
        <f t="shared" si="1"/>
        <v>1997.4100882919415</v>
      </c>
      <c r="O16" s="179">
        <f t="shared" si="1"/>
        <v>2508.3863530763592</v>
      </c>
      <c r="P16" s="179">
        <f t="shared" si="1"/>
        <v>2762.282617860777</v>
      </c>
      <c r="Q16" s="179"/>
      <c r="S16" s="188">
        <f>+SUM(E16:P16)</f>
        <v>-18610.984751491895</v>
      </c>
      <c r="V16" s="136"/>
    </row>
    <row r="17" spans="3:21" s="135" customFormat="1" x14ac:dyDescent="0.2">
      <c r="C17" s="137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3"/>
      <c r="U17" s="134"/>
    </row>
    <row r="19" spans="3:21" x14ac:dyDescent="0.2">
      <c r="C19" s="129" t="s">
        <v>143</v>
      </c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3:21" x14ac:dyDescent="0.2">
      <c r="C20" s="107" t="s">
        <v>87</v>
      </c>
      <c r="D20" s="178">
        <f>-(+'Inversión Inicial '!D35)</f>
        <v>-68200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</row>
    <row r="21" spans="3:21" x14ac:dyDescent="0.2">
      <c r="C21" s="107" t="s">
        <v>149</v>
      </c>
      <c r="D21" s="134"/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35"/>
    </row>
    <row r="22" spans="3:21" x14ac:dyDescent="0.2">
      <c r="C22" s="107" t="s">
        <v>150</v>
      </c>
      <c r="D22" s="134"/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35"/>
    </row>
    <row r="23" spans="3:21" x14ac:dyDescent="0.2">
      <c r="C23" s="117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S23" s="194"/>
    </row>
    <row r="24" spans="3:21" x14ac:dyDescent="0.2">
      <c r="C24" s="142" t="s">
        <v>144</v>
      </c>
      <c r="D24" s="185">
        <f>+D20</f>
        <v>-68200</v>
      </c>
      <c r="E24" s="184">
        <f>+SUM(E21:E22)</f>
        <v>0</v>
      </c>
      <c r="F24" s="184">
        <f t="shared" ref="F24:O24" si="2">+SUM(F21:F22)</f>
        <v>0</v>
      </c>
      <c r="G24" s="184">
        <f t="shared" si="2"/>
        <v>0</v>
      </c>
      <c r="H24" s="184">
        <f t="shared" si="2"/>
        <v>0</v>
      </c>
      <c r="I24" s="184">
        <f t="shared" si="2"/>
        <v>0</v>
      </c>
      <c r="J24" s="184">
        <f t="shared" si="2"/>
        <v>0</v>
      </c>
      <c r="K24" s="184">
        <f t="shared" si="2"/>
        <v>0</v>
      </c>
      <c r="L24" s="184">
        <f t="shared" si="2"/>
        <v>0</v>
      </c>
      <c r="M24" s="184">
        <f t="shared" si="2"/>
        <v>0</v>
      </c>
      <c r="N24" s="184">
        <f t="shared" si="2"/>
        <v>0</v>
      </c>
      <c r="O24" s="184">
        <f t="shared" si="2"/>
        <v>0</v>
      </c>
      <c r="P24" s="184">
        <f t="shared" ref="P24" si="3">+SUM(P21:P22)</f>
        <v>0</v>
      </c>
      <c r="Q24" s="135"/>
      <c r="S24" s="194"/>
    </row>
    <row r="25" spans="3:21" x14ac:dyDescent="0.2">
      <c r="C25" s="133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S25" s="194"/>
    </row>
    <row r="26" spans="3:21" x14ac:dyDescent="0.2">
      <c r="C26" s="128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S26" s="194"/>
    </row>
    <row r="27" spans="3:21" x14ac:dyDescent="0.2">
      <c r="C27" s="129" t="s">
        <v>145</v>
      </c>
      <c r="D27" s="130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S27" s="194"/>
    </row>
    <row r="28" spans="3:21" x14ac:dyDescent="0.2">
      <c r="C28" s="107" t="s">
        <v>146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43"/>
      <c r="S28" s="194"/>
    </row>
    <row r="29" spans="3:21" x14ac:dyDescent="0.2">
      <c r="C29" s="107" t="s">
        <v>89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43"/>
      <c r="S29" s="194"/>
    </row>
    <row r="30" spans="3:21" x14ac:dyDescent="0.2"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143"/>
      <c r="S30" s="194"/>
    </row>
    <row r="31" spans="3:21" x14ac:dyDescent="0.2">
      <c r="C31" s="142" t="s">
        <v>147</v>
      </c>
      <c r="D31" s="184">
        <f>+SUM(D28:D29)</f>
        <v>0</v>
      </c>
      <c r="E31" s="184">
        <f t="shared" ref="E31:O31" si="4">+SUM(E28:E29)</f>
        <v>0</v>
      </c>
      <c r="F31" s="184">
        <f t="shared" si="4"/>
        <v>0</v>
      </c>
      <c r="G31" s="184">
        <f t="shared" si="4"/>
        <v>0</v>
      </c>
      <c r="H31" s="184">
        <f t="shared" si="4"/>
        <v>0</v>
      </c>
      <c r="I31" s="184">
        <f t="shared" si="4"/>
        <v>0</v>
      </c>
      <c r="J31" s="184">
        <f t="shared" si="4"/>
        <v>0</v>
      </c>
      <c r="K31" s="184">
        <f t="shared" si="4"/>
        <v>0</v>
      </c>
      <c r="L31" s="184">
        <f t="shared" si="4"/>
        <v>0</v>
      </c>
      <c r="M31" s="184">
        <f t="shared" si="4"/>
        <v>0</v>
      </c>
      <c r="N31" s="184">
        <f t="shared" si="4"/>
        <v>0</v>
      </c>
      <c r="O31" s="184">
        <f t="shared" si="4"/>
        <v>0</v>
      </c>
      <c r="P31" s="184">
        <f t="shared" ref="P31" si="5">+SUM(P28:P29)</f>
        <v>0</v>
      </c>
      <c r="Q31" s="143"/>
      <c r="S31" s="194"/>
    </row>
    <row r="32" spans="3:21" x14ac:dyDescent="0.2">
      <c r="C32" s="125"/>
      <c r="D32" s="184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143"/>
      <c r="S32" s="194"/>
    </row>
    <row r="33" spans="2:19" x14ac:dyDescent="0.2">
      <c r="C33" s="125"/>
      <c r="D33" s="184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143"/>
      <c r="S33" s="194"/>
    </row>
    <row r="34" spans="2:19" x14ac:dyDescent="0.2">
      <c r="C34" s="129" t="s">
        <v>148</v>
      </c>
      <c r="D34" s="186">
        <f>+D24</f>
        <v>-68200</v>
      </c>
      <c r="E34" s="187">
        <f>+E16</f>
        <v>-6267.6158513764221</v>
      </c>
      <c r="F34" s="187">
        <f t="shared" ref="F34:P34" si="6">+F16</f>
        <v>-5564.0947339095856</v>
      </c>
      <c r="G34" s="187">
        <f t="shared" si="6"/>
        <v>-4762.3436164427503</v>
      </c>
      <c r="H34" s="187">
        <f t="shared" si="6"/>
        <v>-3953.334366583706</v>
      </c>
      <c r="I34" s="187">
        <f t="shared" si="6"/>
        <v>-3053.9539401317907</v>
      </c>
      <c r="J34" s="187">
        <f t="shared" si="6"/>
        <v>-1845.2541659485373</v>
      </c>
      <c r="K34" s="187">
        <f t="shared" si="6"/>
        <v>-1145.2730484817018</v>
      </c>
      <c r="L34" s="187">
        <f t="shared" si="6"/>
        <v>-195.29193101486635</v>
      </c>
      <c r="M34" s="187">
        <f t="shared" si="6"/>
        <v>908.0978431683875</v>
      </c>
      <c r="N34" s="187">
        <f t="shared" si="6"/>
        <v>1997.4100882919415</v>
      </c>
      <c r="O34" s="187">
        <f t="shared" si="6"/>
        <v>2508.3863530763592</v>
      </c>
      <c r="P34" s="187">
        <f t="shared" si="6"/>
        <v>2762.282617860777</v>
      </c>
      <c r="Q34" s="131"/>
      <c r="S34" s="195">
        <f>+SUM(E34:P34)</f>
        <v>-18610.984751491895</v>
      </c>
    </row>
    <row r="35" spans="2:19" x14ac:dyDescent="0.2"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43"/>
      <c r="S35" s="194"/>
    </row>
    <row r="36" spans="2:19" x14ac:dyDescent="0.2">
      <c r="C36" s="125"/>
      <c r="D36" s="184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143"/>
      <c r="S36" s="194"/>
    </row>
    <row r="37" spans="2:19" x14ac:dyDescent="0.2">
      <c r="C37" s="125"/>
      <c r="D37" s="184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143"/>
    </row>
    <row r="38" spans="2:19" x14ac:dyDescent="0.2">
      <c r="C38" s="125"/>
      <c r="D38" s="184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143"/>
    </row>
    <row r="41" spans="2:19" s="212" customFormat="1" ht="25" x14ac:dyDescent="0.2">
      <c r="B41" s="132" t="s">
        <v>157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13"/>
    </row>
    <row r="43" spans="2:19" x14ac:dyDescent="0.2">
      <c r="E43" s="151">
        <v>1</v>
      </c>
      <c r="F43" s="151">
        <v>2</v>
      </c>
      <c r="G43" s="151">
        <v>3</v>
      </c>
      <c r="H43" s="151">
        <v>4</v>
      </c>
      <c r="I43" s="151">
        <v>5</v>
      </c>
    </row>
    <row r="44" spans="2:19" x14ac:dyDescent="0.2">
      <c r="C44" s="129" t="s">
        <v>141</v>
      </c>
      <c r="D44" s="129"/>
      <c r="E44" s="130"/>
      <c r="F44" s="131"/>
      <c r="G44" s="131"/>
      <c r="H44" s="131"/>
      <c r="I44" s="131"/>
    </row>
    <row r="45" spans="2:19" x14ac:dyDescent="0.2">
      <c r="C45" s="135" t="s">
        <v>134</v>
      </c>
      <c r="D45" s="135"/>
      <c r="E45" s="177">
        <f>+'P&amp;L'!D60</f>
        <v>65739.605373134327</v>
      </c>
      <c r="F45" s="177">
        <f>+'P&amp;L'!E60</f>
        <v>145881.11094179103</v>
      </c>
      <c r="G45" s="177">
        <f>+'P&amp;L'!F58</f>
        <v>336941.19588358211</v>
      </c>
      <c r="H45" s="203">
        <f>+'P&amp;L'!G58</f>
        <v>438023.55464865669</v>
      </c>
      <c r="I45" s="203">
        <f>+'P&amp;L'!H58</f>
        <v>613232.97650811938</v>
      </c>
      <c r="L45" s="175"/>
    </row>
    <row r="46" spans="2:19" x14ac:dyDescent="0.2">
      <c r="C46" s="124" t="s">
        <v>132</v>
      </c>
      <c r="D46" s="124"/>
      <c r="E46" s="175">
        <v>-4700</v>
      </c>
      <c r="F46" s="177">
        <v>-5170</v>
      </c>
      <c r="G46" s="177">
        <v>-5170</v>
      </c>
      <c r="H46" s="206">
        <f>G46/2</f>
        <v>-2585</v>
      </c>
      <c r="I46" s="206">
        <f>H46</f>
        <v>-2585</v>
      </c>
    </row>
    <row r="47" spans="2:19" x14ac:dyDescent="0.2">
      <c r="C47" s="107" t="s">
        <v>83</v>
      </c>
      <c r="E47" s="176">
        <f>+S8</f>
        <v>-24000</v>
      </c>
      <c r="F47" s="176">
        <f>-(+'P&amp;L'!E65)</f>
        <v>-25200</v>
      </c>
      <c r="G47" s="176">
        <f>-(+'P&amp;L'!F65)</f>
        <v>-25200</v>
      </c>
      <c r="H47" s="176">
        <f>-(+'P&amp;L'!G65)</f>
        <v>-26460</v>
      </c>
      <c r="I47" s="206">
        <f>-(+'P&amp;L'!H65)</f>
        <v>-26460</v>
      </c>
      <c r="L47" s="203"/>
      <c r="M47" s="203"/>
    </row>
    <row r="48" spans="2:19" x14ac:dyDescent="0.2">
      <c r="C48" s="107" t="s">
        <v>104</v>
      </c>
      <c r="E48" s="177">
        <v>-13800</v>
      </c>
      <c r="F48" s="177">
        <v>-13800</v>
      </c>
      <c r="G48" s="177">
        <v>-13800</v>
      </c>
      <c r="H48" s="177">
        <v>-13800</v>
      </c>
      <c r="I48" s="177">
        <v>-13800</v>
      </c>
    </row>
    <row r="49" spans="3:13" x14ac:dyDescent="0.2">
      <c r="C49" s="107" t="s">
        <v>106</v>
      </c>
      <c r="E49" s="177">
        <f>+SUM(S10:S13)</f>
        <v>-21700</v>
      </c>
      <c r="F49" s="177">
        <v>-22785</v>
      </c>
      <c r="G49" s="177">
        <v>-22785</v>
      </c>
      <c r="H49" s="177">
        <v>-22785</v>
      </c>
      <c r="I49" s="177">
        <v>-22785</v>
      </c>
    </row>
    <row r="50" spans="3:13" x14ac:dyDescent="0.2">
      <c r="C50" s="124" t="s">
        <v>121</v>
      </c>
      <c r="D50" s="124"/>
      <c r="E50" s="177">
        <v>-1972.18816119403</v>
      </c>
      <c r="F50" s="177">
        <v>-4376.43332825373</v>
      </c>
      <c r="G50" s="177">
        <v>-10108.235876507501</v>
      </c>
      <c r="H50" s="177">
        <v>-13140.7066394597</v>
      </c>
      <c r="I50" s="177">
        <v>-18396.989295243598</v>
      </c>
      <c r="L50" s="318"/>
      <c r="M50" s="318"/>
    </row>
    <row r="51" spans="3:13" x14ac:dyDescent="0.2">
      <c r="C51" s="137"/>
      <c r="D51" s="137"/>
      <c r="E51" s="159"/>
      <c r="F51" s="159"/>
      <c r="G51" s="159"/>
      <c r="L51" s="175"/>
    </row>
    <row r="52" spans="3:13" x14ac:dyDescent="0.2">
      <c r="C52" s="142" t="s">
        <v>142</v>
      </c>
      <c r="D52" s="142"/>
      <c r="E52" s="179">
        <f>+SUM(E45:E50)</f>
        <v>-432.58278805970281</v>
      </c>
      <c r="F52" s="179">
        <f>+SUM(F45:F50)</f>
        <v>74549.677613537307</v>
      </c>
      <c r="G52" s="179">
        <f>+SUM(G45:G50)</f>
        <v>259877.96000707461</v>
      </c>
      <c r="H52" s="179">
        <f>+SUM(H45:H50)</f>
        <v>359252.84800919698</v>
      </c>
      <c r="I52" s="179">
        <f>+SUM(I45:I50)</f>
        <v>529205.98721287574</v>
      </c>
      <c r="L52" s="175"/>
      <c r="M52" s="318"/>
    </row>
    <row r="53" spans="3:13" x14ac:dyDescent="0.2">
      <c r="C53" s="137"/>
      <c r="D53" s="159"/>
      <c r="E53" s="159"/>
      <c r="F53" s="159"/>
      <c r="G53" s="159"/>
    </row>
    <row r="55" spans="3:13" x14ac:dyDescent="0.2">
      <c r="C55" s="129" t="s">
        <v>143</v>
      </c>
      <c r="D55" s="130"/>
      <c r="E55" s="131"/>
      <c r="F55" s="131"/>
      <c r="G55" s="131"/>
      <c r="H55" s="131"/>
      <c r="I55" s="131"/>
    </row>
    <row r="56" spans="3:13" x14ac:dyDescent="0.2">
      <c r="C56" s="107" t="s">
        <v>87</v>
      </c>
      <c r="D56" s="178">
        <f>+D20</f>
        <v>-68200</v>
      </c>
      <c r="E56" s="135"/>
      <c r="F56" s="135"/>
      <c r="G56" s="135"/>
    </row>
    <row r="57" spans="3:13" x14ac:dyDescent="0.2">
      <c r="C57" s="107" t="s">
        <v>149</v>
      </c>
      <c r="D57" s="134"/>
      <c r="E57" s="184">
        <v>0</v>
      </c>
      <c r="F57" s="188">
        <v>-15000</v>
      </c>
      <c r="G57" s="188">
        <v>-10000</v>
      </c>
      <c r="H57" s="207">
        <v>-5000</v>
      </c>
      <c r="I57" s="207">
        <v>-5000</v>
      </c>
    </row>
    <row r="58" spans="3:13" x14ac:dyDescent="0.2">
      <c r="C58" s="107" t="s">
        <v>150</v>
      </c>
      <c r="D58" s="134"/>
      <c r="E58" s="184">
        <v>0</v>
      </c>
      <c r="F58" s="184">
        <v>0</v>
      </c>
      <c r="G58" s="184">
        <v>0</v>
      </c>
      <c r="H58" s="184">
        <v>0</v>
      </c>
      <c r="I58" s="184">
        <v>0</v>
      </c>
    </row>
    <row r="59" spans="3:13" x14ac:dyDescent="0.2">
      <c r="C59" s="117"/>
      <c r="D59" s="134"/>
      <c r="E59" s="135"/>
      <c r="F59" s="135"/>
      <c r="G59" s="135"/>
    </row>
    <row r="60" spans="3:13" x14ac:dyDescent="0.2">
      <c r="C60" s="142" t="s">
        <v>144</v>
      </c>
      <c r="D60" s="185">
        <f>+D56</f>
        <v>-68200</v>
      </c>
      <c r="E60" s="189">
        <f>+SUM(E57:E58)</f>
        <v>0</v>
      </c>
      <c r="F60" s="190">
        <f t="shared" ref="F60:I60" si="7">+SUM(F57:F58)</f>
        <v>-15000</v>
      </c>
      <c r="G60" s="190">
        <f t="shared" si="7"/>
        <v>-10000</v>
      </c>
      <c r="H60" s="190">
        <f t="shared" si="7"/>
        <v>-5000</v>
      </c>
      <c r="I60" s="190">
        <f t="shared" si="7"/>
        <v>-5000</v>
      </c>
    </row>
    <row r="61" spans="3:13" x14ac:dyDescent="0.2">
      <c r="C61" s="133"/>
      <c r="D61" s="134"/>
      <c r="E61" s="135"/>
      <c r="F61" s="135"/>
      <c r="G61" s="135"/>
    </row>
    <row r="62" spans="3:13" x14ac:dyDescent="0.2">
      <c r="C62" s="128"/>
      <c r="D62" s="123"/>
      <c r="E62" s="123"/>
      <c r="F62" s="123"/>
      <c r="G62" s="123"/>
    </row>
    <row r="63" spans="3:13" x14ac:dyDescent="0.2">
      <c r="C63" s="129" t="s">
        <v>145</v>
      </c>
      <c r="D63" s="130"/>
      <c r="E63" s="131"/>
      <c r="F63" s="131"/>
      <c r="G63" s="131"/>
      <c r="H63" s="131"/>
      <c r="I63" s="131"/>
    </row>
    <row r="64" spans="3:13" x14ac:dyDescent="0.2">
      <c r="C64" s="107" t="s">
        <v>146</v>
      </c>
      <c r="D64" s="184">
        <v>0</v>
      </c>
      <c r="E64" s="184">
        <v>0</v>
      </c>
      <c r="F64" s="184">
        <v>0</v>
      </c>
      <c r="G64" s="184">
        <v>0</v>
      </c>
      <c r="H64" s="184">
        <v>0</v>
      </c>
      <c r="I64" s="184">
        <v>0</v>
      </c>
    </row>
    <row r="65" spans="3:9" x14ac:dyDescent="0.2">
      <c r="C65" s="107" t="s">
        <v>89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</row>
    <row r="66" spans="3:9" x14ac:dyDescent="0.2">
      <c r="D66" s="97"/>
      <c r="E66" s="97"/>
      <c r="F66" s="97"/>
      <c r="G66" s="97"/>
      <c r="H66" s="184">
        <v>0</v>
      </c>
      <c r="I66" s="184">
        <v>0</v>
      </c>
    </row>
    <row r="67" spans="3:9" x14ac:dyDescent="0.2">
      <c r="C67" s="142" t="s">
        <v>147</v>
      </c>
      <c r="D67" s="184">
        <f>+SUM(D64:D65)</f>
        <v>0</v>
      </c>
      <c r="E67" s="184">
        <f t="shared" ref="E67:G67" si="8">+SUM(E64:E65)</f>
        <v>0</v>
      </c>
      <c r="F67" s="184">
        <f t="shared" si="8"/>
        <v>0</v>
      </c>
      <c r="G67" s="184">
        <f t="shared" si="8"/>
        <v>0</v>
      </c>
      <c r="H67" s="184">
        <v>0</v>
      </c>
      <c r="I67" s="184">
        <v>0</v>
      </c>
    </row>
    <row r="68" spans="3:9" x14ac:dyDescent="0.2">
      <c r="C68" s="125"/>
      <c r="D68" s="184"/>
      <c r="E68" s="97"/>
      <c r="F68" s="97"/>
      <c r="G68" s="97"/>
    </row>
    <row r="69" spans="3:9" x14ac:dyDescent="0.2">
      <c r="C69" s="125"/>
      <c r="D69" s="184"/>
      <c r="E69" s="97"/>
      <c r="F69" s="97"/>
      <c r="G69" s="97"/>
    </row>
    <row r="70" spans="3:9" x14ac:dyDescent="0.2">
      <c r="C70" s="129" t="s">
        <v>148</v>
      </c>
      <c r="D70" s="186">
        <f>+D60+D67</f>
        <v>-68200</v>
      </c>
      <c r="E70" s="187">
        <f>+E52+E60+E67</f>
        <v>-432.58278805970281</v>
      </c>
      <c r="F70" s="187">
        <f>+F52+F60+F67</f>
        <v>59549.677613537307</v>
      </c>
      <c r="G70" s="187">
        <f>+G52+G60+G67</f>
        <v>249877.96000707461</v>
      </c>
      <c r="H70" s="187">
        <f>+H52+H60+H67</f>
        <v>354252.84800919698</v>
      </c>
      <c r="I70" s="187">
        <f>+I52+I60+I67</f>
        <v>524205.98721287574</v>
      </c>
    </row>
    <row r="71" spans="3:9" x14ac:dyDescent="0.2">
      <c r="C71" s="191" t="s">
        <v>154</v>
      </c>
      <c r="D71" s="193">
        <f>+D70</f>
        <v>-68200</v>
      </c>
      <c r="E71" s="192">
        <f>+E70+D71</f>
        <v>-68632.582788059706</v>
      </c>
      <c r="F71" s="192">
        <f t="shared" ref="F71:I71" si="9">+F70+E71</f>
        <v>-9082.9051745223987</v>
      </c>
      <c r="G71" s="192">
        <f t="shared" si="9"/>
        <v>240795.05483255221</v>
      </c>
      <c r="H71" s="192">
        <f t="shared" si="9"/>
        <v>595047.90284174914</v>
      </c>
      <c r="I71" s="192">
        <f t="shared" si="9"/>
        <v>1119253.890054625</v>
      </c>
    </row>
    <row r="72" spans="3:9" x14ac:dyDescent="0.2">
      <c r="F72" s="258"/>
      <c r="G72" s="258"/>
      <c r="H72" s="258"/>
      <c r="I72" s="258"/>
    </row>
    <row r="74" spans="3:9" ht="18" x14ac:dyDescent="0.2">
      <c r="C74" s="196" t="s">
        <v>151</v>
      </c>
      <c r="D74" s="197">
        <v>0.3</v>
      </c>
      <c r="E74" s="198"/>
    </row>
    <row r="75" spans="3:9" ht="18" x14ac:dyDescent="0.2">
      <c r="C75" s="199" t="s">
        <v>152</v>
      </c>
      <c r="D75" s="200">
        <f>2+(-F71/G70)</f>
        <v>2.0363493650030811</v>
      </c>
      <c r="E75" s="201" t="s">
        <v>158</v>
      </c>
    </row>
    <row r="76" spans="3:9" ht="18" x14ac:dyDescent="0.2">
      <c r="C76" s="199" t="s">
        <v>153</v>
      </c>
      <c r="D76" s="208">
        <f>+NPV(D74, E70:I70)+D70</f>
        <v>345657.4075064038</v>
      </c>
      <c r="E76" s="209"/>
    </row>
    <row r="77" spans="3:9" ht="18" x14ac:dyDescent="0.2">
      <c r="C77" s="202" t="s">
        <v>88</v>
      </c>
      <c r="D77" s="210">
        <f>+IRR(D70:I70)</f>
        <v>1.127687867306356</v>
      </c>
      <c r="E77" s="211"/>
    </row>
    <row r="80" spans="3:9" x14ac:dyDescent="0.2">
      <c r="C80" s="259" t="s">
        <v>159</v>
      </c>
      <c r="D80" s="131"/>
      <c r="E80" s="260">
        <f>+E81/E82</f>
        <v>16.146788990825687</v>
      </c>
      <c r="F80" s="260">
        <f t="shared" ref="F80:I80" si="10">+F81/F82</f>
        <v>5.6992864424057084</v>
      </c>
      <c r="G80" s="260">
        <f t="shared" si="10"/>
        <v>2.8496432212028542</v>
      </c>
      <c r="H80" s="260">
        <f t="shared" si="10"/>
        <v>1.9893358425468517</v>
      </c>
      <c r="I80" s="260">
        <f t="shared" si="10"/>
        <v>1.4209541732477511</v>
      </c>
    </row>
    <row r="81" spans="3:9" x14ac:dyDescent="0.2">
      <c r="C81" s="107" t="s">
        <v>160</v>
      </c>
      <c r="E81" s="155">
        <f>+'P&amp;L'!D63+'P&amp;L'!D64</f>
        <v>26400</v>
      </c>
      <c r="F81" s="155">
        <f>+'P&amp;L'!E63+'P&amp;L'!E64</f>
        <v>27955</v>
      </c>
      <c r="G81" s="155">
        <f>+'P&amp;L'!F63+'P&amp;L'!F64</f>
        <v>27955</v>
      </c>
      <c r="H81" s="155">
        <f>+'P&amp;L'!G63+'P&amp;L'!G64</f>
        <v>25370</v>
      </c>
      <c r="I81" s="155">
        <f>+'P&amp;L'!H63+'P&amp;L'!H64</f>
        <v>25370</v>
      </c>
    </row>
    <row r="82" spans="3:9" x14ac:dyDescent="0.2">
      <c r="C82" s="107" t="s">
        <v>161</v>
      </c>
      <c r="E82" s="169">
        <f>+'P&amp;L'!D59</f>
        <v>1635</v>
      </c>
      <c r="F82" s="169">
        <f>+'P&amp;L'!E59</f>
        <v>4905</v>
      </c>
      <c r="G82" s="169">
        <f>+'P&amp;L'!F59</f>
        <v>9810</v>
      </c>
      <c r="H82" s="169">
        <f>+'P&amp;L'!G59</f>
        <v>12753</v>
      </c>
      <c r="I82" s="169">
        <f>+'P&amp;L'!H59</f>
        <v>17854.2</v>
      </c>
    </row>
    <row r="85" spans="3:9" x14ac:dyDescent="0.2">
      <c r="C85" s="259" t="s">
        <v>165</v>
      </c>
      <c r="D85" s="131"/>
      <c r="E85" s="314" t="s">
        <v>198</v>
      </c>
      <c r="F85" s="131"/>
      <c r="G85" s="314" t="s">
        <v>201</v>
      </c>
      <c r="H85" s="314" t="s">
        <v>202</v>
      </c>
      <c r="I85" s="131"/>
    </row>
    <row r="86" spans="3:9" x14ac:dyDescent="0.2">
      <c r="C86" s="107" t="s">
        <v>162</v>
      </c>
      <c r="D86" s="214">
        <v>0.8</v>
      </c>
      <c r="E86" s="215">
        <f>+E82*D86</f>
        <v>1308</v>
      </c>
      <c r="F86" s="107" t="s">
        <v>163</v>
      </c>
      <c r="G86" s="316">
        <v>16</v>
      </c>
      <c r="H86" s="203">
        <f>+G86*3</f>
        <v>48</v>
      </c>
      <c r="I86" s="203"/>
    </row>
    <row r="87" spans="3:9" x14ac:dyDescent="0.2">
      <c r="C87" s="107" t="s">
        <v>166</v>
      </c>
      <c r="D87" s="214">
        <v>0.2</v>
      </c>
      <c r="E87" s="215">
        <f>+E82*D87</f>
        <v>327</v>
      </c>
      <c r="F87" s="107" t="s">
        <v>164</v>
      </c>
      <c r="G87" s="316">
        <v>63</v>
      </c>
      <c r="H87" s="203">
        <f>+G87*1</f>
        <v>63</v>
      </c>
      <c r="I87" s="2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FF71-492E-9C43-8BC0-F2F9C07BBF0D}">
  <dimension ref="B2:O36"/>
  <sheetViews>
    <sheetView showGridLines="0" workbookViewId="0">
      <selection activeCell="Q31" sqref="Q31"/>
    </sheetView>
  </sheetViews>
  <sheetFormatPr baseColWidth="10" defaultRowHeight="16" x14ac:dyDescent="0.2"/>
  <cols>
    <col min="1" max="1" width="2.5" customWidth="1"/>
    <col min="2" max="2" width="35.6640625" customWidth="1"/>
    <col min="3" max="3" width="14.6640625" customWidth="1"/>
    <col min="4" max="4" width="14.1640625" customWidth="1"/>
    <col min="5" max="5" width="10.83203125" customWidth="1"/>
    <col min="14" max="14" width="14.33203125" customWidth="1"/>
    <col min="16" max="16" width="1.6640625" customWidth="1"/>
  </cols>
  <sheetData>
    <row r="2" spans="2:15" ht="25" x14ac:dyDescent="0.2">
      <c r="B2" s="313" t="s">
        <v>167</v>
      </c>
      <c r="C2" s="313"/>
      <c r="D2" s="31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4" spans="2:15" ht="2" customHeight="1" x14ac:dyDescent="0.2"/>
    <row r="5" spans="2:15" x14ac:dyDescent="0.2">
      <c r="C5" s="264">
        <v>2019</v>
      </c>
      <c r="D5" s="264"/>
      <c r="E5" s="264"/>
      <c r="F5" s="312">
        <v>2020</v>
      </c>
      <c r="G5" s="312"/>
      <c r="H5" s="312"/>
      <c r="I5" s="312"/>
      <c r="J5" s="312">
        <v>2021</v>
      </c>
      <c r="K5" s="312"/>
      <c r="L5" s="312"/>
      <c r="M5" s="312"/>
      <c r="N5" s="283">
        <v>2022</v>
      </c>
      <c r="O5" s="283">
        <v>2023</v>
      </c>
    </row>
    <row r="6" spans="2:15" x14ac:dyDescent="0.2">
      <c r="C6" s="263" t="s">
        <v>171</v>
      </c>
      <c r="D6" s="263" t="s">
        <v>168</v>
      </c>
      <c r="E6" s="263" t="s">
        <v>169</v>
      </c>
      <c r="F6" s="263" t="s">
        <v>170</v>
      </c>
      <c r="G6" s="263" t="s">
        <v>171</v>
      </c>
      <c r="H6" s="263" t="s">
        <v>168</v>
      </c>
      <c r="I6" s="263" t="s">
        <v>169</v>
      </c>
      <c r="J6" s="263" t="s">
        <v>170</v>
      </c>
      <c r="K6" s="263" t="s">
        <v>171</v>
      </c>
      <c r="L6" s="263" t="s">
        <v>168</v>
      </c>
      <c r="M6" s="263" t="s">
        <v>169</v>
      </c>
      <c r="N6" s="263"/>
      <c r="O6" s="263"/>
    </row>
    <row r="7" spans="2:15" x14ac:dyDescent="0.2">
      <c r="B7" s="265" t="s">
        <v>183</v>
      </c>
      <c r="C7" s="266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x14ac:dyDescent="0.2">
      <c r="B8" s="268" t="s">
        <v>172</v>
      </c>
      <c r="C8" s="269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2:15" x14ac:dyDescent="0.2">
      <c r="B9" s="265" t="s">
        <v>184</v>
      </c>
      <c r="C9" s="266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</row>
    <row r="10" spans="2:15" x14ac:dyDescent="0.2">
      <c r="B10" s="268" t="s">
        <v>172</v>
      </c>
      <c r="C10" s="268"/>
      <c r="D10" s="266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</row>
    <row r="11" spans="2:15" x14ac:dyDescent="0.2">
      <c r="B11" s="268" t="s">
        <v>173</v>
      </c>
      <c r="C11" s="268"/>
      <c r="D11" s="265"/>
      <c r="E11" s="266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2" spans="2:15" x14ac:dyDescent="0.2">
      <c r="B12" s="268" t="s">
        <v>174</v>
      </c>
      <c r="C12" s="268"/>
      <c r="D12" s="265"/>
      <c r="E12" s="265"/>
      <c r="F12" s="266"/>
      <c r="G12" s="265"/>
      <c r="H12" s="265"/>
      <c r="I12" s="265"/>
      <c r="J12" s="265"/>
      <c r="K12" s="265"/>
      <c r="L12" s="265"/>
      <c r="M12" s="265"/>
      <c r="N12" s="265"/>
      <c r="O12" s="265"/>
    </row>
    <row r="13" spans="2:15" ht="17" thickBot="1" x14ac:dyDescent="0.25">
      <c r="B13" s="274" t="s">
        <v>175</v>
      </c>
      <c r="C13" s="274"/>
      <c r="D13" s="275"/>
      <c r="E13" s="275"/>
      <c r="F13" s="276"/>
      <c r="G13" s="276"/>
      <c r="H13" s="275"/>
      <c r="I13" s="275"/>
      <c r="J13" s="275"/>
      <c r="K13" s="275"/>
      <c r="L13" s="275"/>
      <c r="M13" s="275"/>
      <c r="N13" s="275"/>
      <c r="O13" s="275"/>
    </row>
    <row r="14" spans="2:15" x14ac:dyDescent="0.2">
      <c r="B14" s="271" t="s">
        <v>176</v>
      </c>
      <c r="C14" s="271"/>
      <c r="D14" s="272"/>
      <c r="E14" s="272"/>
      <c r="F14" s="272"/>
      <c r="G14" s="273"/>
      <c r="H14" s="272"/>
      <c r="I14" s="272"/>
      <c r="J14" s="272"/>
      <c r="K14" s="272"/>
      <c r="L14" s="272"/>
      <c r="M14" s="272"/>
      <c r="N14" s="272"/>
      <c r="O14" s="272"/>
    </row>
    <row r="15" spans="2:15" x14ac:dyDescent="0.2">
      <c r="B15" s="270" t="s">
        <v>177</v>
      </c>
      <c r="C15" s="270"/>
      <c r="D15" s="265"/>
      <c r="E15" s="265"/>
      <c r="F15" s="265"/>
      <c r="G15" s="266"/>
      <c r="H15" s="265"/>
      <c r="I15" s="265"/>
      <c r="J15" s="265"/>
      <c r="K15" s="265"/>
      <c r="L15" s="265"/>
      <c r="M15" s="265"/>
      <c r="N15" s="265"/>
      <c r="O15" s="265"/>
    </row>
    <row r="16" spans="2:15" ht="17" thickBot="1" x14ac:dyDescent="0.25">
      <c r="B16" s="277" t="s">
        <v>178</v>
      </c>
      <c r="C16" s="277"/>
      <c r="D16" s="275"/>
      <c r="E16" s="275"/>
      <c r="F16" s="275"/>
      <c r="G16" s="276"/>
      <c r="H16" s="275"/>
      <c r="I16" s="275"/>
      <c r="J16" s="275"/>
      <c r="K16" s="275"/>
      <c r="L16" s="275"/>
      <c r="M16" s="275"/>
      <c r="N16" s="275"/>
      <c r="O16" s="275"/>
    </row>
    <row r="17" spans="2:15" x14ac:dyDescent="0.2">
      <c r="B17" s="271" t="s">
        <v>196</v>
      </c>
      <c r="C17" s="271"/>
      <c r="D17" s="272"/>
      <c r="E17" s="272"/>
      <c r="F17" s="272"/>
      <c r="G17" s="272"/>
      <c r="H17" s="273"/>
      <c r="I17" s="272"/>
      <c r="J17" s="272"/>
      <c r="K17" s="272"/>
      <c r="L17" s="272"/>
      <c r="M17" s="272"/>
      <c r="N17" s="272"/>
      <c r="O17" s="272"/>
    </row>
    <row r="18" spans="2:15" x14ac:dyDescent="0.2">
      <c r="B18" s="270" t="s">
        <v>194</v>
      </c>
      <c r="C18" s="270"/>
      <c r="D18" s="265"/>
      <c r="E18" s="265"/>
      <c r="F18" s="265"/>
      <c r="G18" s="265"/>
      <c r="H18" s="266"/>
      <c r="I18" s="265"/>
      <c r="J18" s="265"/>
      <c r="K18" s="265"/>
      <c r="L18" s="265"/>
      <c r="M18" s="265"/>
      <c r="N18" s="265"/>
      <c r="O18" s="265"/>
    </row>
    <row r="19" spans="2:15" x14ac:dyDescent="0.2">
      <c r="B19" s="270" t="s">
        <v>193</v>
      </c>
      <c r="C19" s="270"/>
      <c r="D19" s="265"/>
      <c r="E19" s="265"/>
      <c r="F19" s="265"/>
      <c r="G19" s="265"/>
      <c r="H19" s="266"/>
      <c r="I19" s="266"/>
      <c r="J19" s="265"/>
      <c r="K19" s="265"/>
      <c r="L19" s="265"/>
      <c r="M19" s="265"/>
      <c r="N19" s="265"/>
      <c r="O19" s="265"/>
    </row>
    <row r="20" spans="2:15" ht="17" thickBot="1" x14ac:dyDescent="0.25">
      <c r="B20" s="277" t="s">
        <v>180</v>
      </c>
      <c r="C20" s="277"/>
      <c r="D20" s="275"/>
      <c r="E20" s="275"/>
      <c r="F20" s="275"/>
      <c r="G20" s="275"/>
      <c r="H20" s="276"/>
      <c r="I20" s="276"/>
      <c r="J20" s="275"/>
      <c r="K20" s="275"/>
      <c r="L20" s="275"/>
      <c r="M20" s="275"/>
      <c r="N20" s="275"/>
      <c r="O20" s="275"/>
    </row>
    <row r="21" spans="2:15" x14ac:dyDescent="0.2">
      <c r="B21" s="271" t="s">
        <v>181</v>
      </c>
      <c r="C21" s="271"/>
      <c r="D21" s="272"/>
      <c r="E21" s="272"/>
      <c r="F21" s="272"/>
      <c r="G21" s="272"/>
      <c r="H21" s="273"/>
      <c r="I21" s="272"/>
      <c r="J21" s="272"/>
      <c r="K21" s="272"/>
      <c r="L21" s="272"/>
      <c r="M21" s="272"/>
      <c r="N21" s="272"/>
      <c r="O21" s="272"/>
    </row>
    <row r="22" spans="2:15" ht="17" thickBot="1" x14ac:dyDescent="0.25">
      <c r="B22" s="277" t="s">
        <v>182</v>
      </c>
      <c r="C22" s="277"/>
      <c r="D22" s="275"/>
      <c r="E22" s="275"/>
      <c r="F22" s="275"/>
      <c r="G22" s="275"/>
      <c r="H22" s="275"/>
      <c r="I22" s="276"/>
      <c r="J22" s="275"/>
      <c r="K22" s="275"/>
      <c r="L22" s="275"/>
      <c r="M22" s="275"/>
      <c r="N22" s="275"/>
      <c r="O22" s="275"/>
    </row>
    <row r="23" spans="2:15" x14ac:dyDescent="0.2">
      <c r="B23" s="280" t="s">
        <v>195</v>
      </c>
      <c r="C23" s="280"/>
      <c r="D23" s="281"/>
      <c r="E23" s="281"/>
      <c r="F23" s="281"/>
      <c r="G23" s="281"/>
      <c r="H23" s="281"/>
      <c r="I23" s="282"/>
      <c r="J23" s="282"/>
      <c r="K23" s="281"/>
      <c r="L23" s="281"/>
      <c r="M23" s="281"/>
      <c r="N23" s="281"/>
      <c r="O23" s="281"/>
    </row>
    <row r="24" spans="2:15" x14ac:dyDescent="0.2">
      <c r="B24" s="272" t="s">
        <v>185</v>
      </c>
      <c r="C24" s="272"/>
      <c r="D24" s="272"/>
      <c r="E24" s="272"/>
      <c r="F24" s="272"/>
      <c r="G24" s="272"/>
      <c r="H24" s="272"/>
      <c r="I24" s="272"/>
      <c r="J24" s="273"/>
      <c r="K24" s="272"/>
      <c r="L24" s="272"/>
      <c r="M24" s="272"/>
      <c r="N24" s="272"/>
      <c r="O24" s="272"/>
    </row>
    <row r="25" spans="2:15" x14ac:dyDescent="0.2">
      <c r="B25" s="265" t="s">
        <v>186</v>
      </c>
      <c r="C25" s="265"/>
      <c r="D25" s="265"/>
      <c r="E25" s="265"/>
      <c r="F25" s="265"/>
      <c r="G25" s="265"/>
      <c r="H25" s="265"/>
      <c r="I25" s="265"/>
      <c r="J25" s="266"/>
      <c r="K25" s="278"/>
      <c r="L25" s="265"/>
      <c r="M25" s="265"/>
      <c r="N25" s="265"/>
      <c r="O25" s="265"/>
    </row>
    <row r="26" spans="2:15" ht="17" thickBot="1" x14ac:dyDescent="0.25">
      <c r="B26" s="275" t="s">
        <v>187</v>
      </c>
      <c r="C26" s="275"/>
      <c r="D26" s="275"/>
      <c r="E26" s="275"/>
      <c r="F26" s="275"/>
      <c r="G26" s="275"/>
      <c r="H26" s="275"/>
      <c r="I26" s="275"/>
      <c r="J26" s="276"/>
      <c r="K26" s="279"/>
      <c r="L26" s="275"/>
      <c r="M26" s="275"/>
      <c r="N26" s="275"/>
      <c r="O26" s="275"/>
    </row>
    <row r="27" spans="2:15" x14ac:dyDescent="0.2">
      <c r="B27" s="272" t="s">
        <v>189</v>
      </c>
      <c r="C27" s="272"/>
      <c r="D27" s="272"/>
      <c r="E27" s="272"/>
      <c r="F27" s="272"/>
      <c r="G27" s="272"/>
      <c r="H27" s="272"/>
      <c r="I27" s="272"/>
      <c r="J27" s="272"/>
      <c r="K27" s="273"/>
      <c r="L27" s="272"/>
      <c r="M27" s="272"/>
      <c r="N27" s="272"/>
      <c r="O27" s="272"/>
    </row>
    <row r="28" spans="2:15" x14ac:dyDescent="0.2">
      <c r="B28" s="265" t="s">
        <v>114</v>
      </c>
      <c r="C28" s="265"/>
      <c r="D28" s="265"/>
      <c r="E28" s="265"/>
      <c r="F28" s="265"/>
      <c r="G28" s="265"/>
      <c r="H28" s="265"/>
      <c r="I28" s="265"/>
      <c r="J28" s="265"/>
      <c r="K28" s="266"/>
      <c r="L28" s="266"/>
      <c r="M28" s="266"/>
      <c r="N28" s="266"/>
      <c r="O28" s="266"/>
    </row>
    <row r="29" spans="2:15" x14ac:dyDescent="0.2">
      <c r="B29" s="265" t="s">
        <v>188</v>
      </c>
      <c r="C29" s="265"/>
      <c r="D29" s="265"/>
      <c r="E29" s="265"/>
      <c r="F29" s="265"/>
      <c r="G29" s="265"/>
      <c r="H29" s="265"/>
      <c r="I29" s="265"/>
      <c r="J29" s="265"/>
      <c r="K29" s="266"/>
      <c r="L29" s="266"/>
      <c r="M29" s="266"/>
      <c r="N29" s="266"/>
      <c r="O29" s="266"/>
    </row>
    <row r="30" spans="2:15" ht="17" thickBot="1" x14ac:dyDescent="0.25">
      <c r="B30" s="275" t="s">
        <v>116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6"/>
      <c r="M30" s="276"/>
      <c r="N30" s="276"/>
      <c r="O30" s="276"/>
    </row>
    <row r="31" spans="2:15" x14ac:dyDescent="0.2">
      <c r="B31" s="272" t="s">
        <v>179</v>
      </c>
      <c r="C31" s="272"/>
      <c r="D31" s="272"/>
      <c r="E31" s="272"/>
      <c r="F31" s="272"/>
      <c r="G31" s="272"/>
      <c r="H31" s="272"/>
      <c r="I31" s="272"/>
      <c r="J31" s="272"/>
      <c r="K31" s="273"/>
      <c r="L31" s="273"/>
      <c r="M31" s="273"/>
      <c r="N31" s="273"/>
      <c r="O31" s="273"/>
    </row>
    <row r="32" spans="2:15" x14ac:dyDescent="0.2">
      <c r="B32" s="272" t="s">
        <v>192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3"/>
      <c r="O32" s="272"/>
    </row>
    <row r="33" spans="2:15" x14ac:dyDescent="0.2">
      <c r="B33" s="265" t="s">
        <v>190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65"/>
    </row>
    <row r="34" spans="2:15" ht="17" thickBot="1" x14ac:dyDescent="0.25">
      <c r="B34" s="275" t="s">
        <v>179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6"/>
      <c r="O34" s="275"/>
    </row>
    <row r="35" spans="2:15" ht="17" thickBot="1" x14ac:dyDescent="0.25">
      <c r="B35" s="284" t="s">
        <v>191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5"/>
    </row>
    <row r="36" spans="2:15" ht="13" customHeight="1" x14ac:dyDescent="0.2"/>
  </sheetData>
  <mergeCells count="3">
    <mergeCell ref="F5:I5"/>
    <mergeCell ref="J5:M5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Evolución Ventas Año 1</vt:lpstr>
      <vt:lpstr>Inversión Inicial </vt:lpstr>
      <vt:lpstr>Estimación de demanda</vt:lpstr>
      <vt:lpstr>P&amp;L</vt:lpstr>
      <vt:lpstr>Cashflow</vt:lpstr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2020-04-22T23:01:24Z</dcterms:created>
  <dcterms:modified xsi:type="dcterms:W3CDTF">2020-05-02T18:19:46Z</dcterms:modified>
</cp:coreProperties>
</file>