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hemeroteca\Desktop\Repositorio Digital\TESIS DIGITAL\Posgrados\Maestría en Gestión de Servicios Tecnológicos y de Telecomunicaciones\WATERMARKED PDF\"/>
    </mc:Choice>
  </mc:AlternateContent>
  <xr:revisionPtr revIDLastSave="0" documentId="8_{EE2FA40C-E716-4CAA-9962-FEAFAA3E5403}" xr6:coauthVersionLast="47" xr6:coauthVersionMax="47" xr10:uidLastSave="{00000000-0000-0000-0000-000000000000}"/>
  <bookViews>
    <workbookView xWindow="-120" yWindow="-120" windowWidth="20640" windowHeight="11160" activeTab="2" xr2:uid="{D82611AD-A692-4A15-91ED-06435F3751EF}"/>
  </bookViews>
  <sheets>
    <sheet name="Cashflow" sheetId="3" r:id="rId1"/>
    <sheet name="Estado de Resultados" sheetId="8" r:id="rId2"/>
    <sheet name="Ventas" sheetId="7" r:id="rId3"/>
    <sheet name="Costos y OPEX" sheetId="6" r:id="rId4"/>
    <sheet name="BU y Amort" sheetId="9" r:id="rId5"/>
    <sheet name="Inversión" sheetId="2" r:id="rId6"/>
    <sheet name="Inflación USD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2" i="9" l="1"/>
  <c r="B11" i="2"/>
  <c r="B4" i="2"/>
  <c r="B3" i="2" s="1"/>
  <c r="B13" i="2" s="1"/>
  <c r="B8" i="3" s="1"/>
  <c r="B12" i="6"/>
  <c r="C3" i="9" l="1"/>
  <c r="F3" i="9" s="1"/>
  <c r="F2" i="9"/>
  <c r="C19" i="7"/>
  <c r="D27" i="6"/>
  <c r="D40" i="8"/>
  <c r="D39" i="8"/>
  <c r="C4" i="9" l="1"/>
  <c r="F4" i="9" s="1"/>
  <c r="B22" i="7"/>
  <c r="B27" i="6" l="1"/>
  <c r="N26" i="8" s="1"/>
  <c r="B26" i="6"/>
  <c r="C16" i="6"/>
  <c r="M1" i="8"/>
  <c r="B7" i="10"/>
  <c r="Y1" i="8" s="1"/>
  <c r="D8" i="6"/>
  <c r="N13" i="8" s="1"/>
  <c r="B28" i="8"/>
  <c r="AW1" i="8"/>
  <c r="AK1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B16" i="6"/>
  <c r="AY4" i="3"/>
  <c r="AM4" i="3"/>
  <c r="AA4" i="3"/>
  <c r="O4" i="3"/>
  <c r="B23" i="7"/>
  <c r="B4" i="8" s="1"/>
  <c r="B26" i="7"/>
  <c r="B7" i="8" s="1"/>
  <c r="B25" i="7"/>
  <c r="B24" i="7"/>
  <c r="B5" i="8" s="1"/>
  <c r="B17" i="8"/>
  <c r="C17" i="8" s="1"/>
  <c r="D17" i="8" s="1"/>
  <c r="E17" i="8" s="1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X17" i="8" s="1"/>
  <c r="Y17" i="8" s="1"/>
  <c r="Z17" i="8" s="1"/>
  <c r="AA17" i="8" s="1"/>
  <c r="AB17" i="8" s="1"/>
  <c r="AC17" i="8" s="1"/>
  <c r="AD17" i="8" s="1"/>
  <c r="AE17" i="8" s="1"/>
  <c r="AF17" i="8" s="1"/>
  <c r="AG17" i="8" s="1"/>
  <c r="AH17" i="8" s="1"/>
  <c r="AI17" i="8" s="1"/>
  <c r="AJ17" i="8" s="1"/>
  <c r="AK17" i="8" s="1"/>
  <c r="AL17" i="8" s="1"/>
  <c r="AM17" i="8" s="1"/>
  <c r="AN17" i="8" s="1"/>
  <c r="AO17" i="8" s="1"/>
  <c r="AP17" i="8" s="1"/>
  <c r="AQ17" i="8" s="1"/>
  <c r="AR17" i="8" s="1"/>
  <c r="AS17" i="8" s="1"/>
  <c r="AT17" i="8" s="1"/>
  <c r="AU17" i="8" s="1"/>
  <c r="AV17" i="8" s="1"/>
  <c r="AW17" i="8" s="1"/>
  <c r="AX17" i="8" s="1"/>
  <c r="AY17" i="8" s="1"/>
  <c r="AZ17" i="8" s="1"/>
  <c r="BA17" i="8" s="1"/>
  <c r="BB17" i="8" s="1"/>
  <c r="BC17" i="8" s="1"/>
  <c r="BD17" i="8" s="1"/>
  <c r="BE17" i="8" s="1"/>
  <c r="BF17" i="8" s="1"/>
  <c r="BG17" i="8" s="1"/>
  <c r="BH17" i="8" s="1"/>
  <c r="BI17" i="8" s="1"/>
  <c r="B15" i="8"/>
  <c r="C15" i="8" s="1"/>
  <c r="D15" i="8" s="1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D15" i="8" s="1"/>
  <c r="AE15" i="8" s="1"/>
  <c r="AF15" i="8" s="1"/>
  <c r="AG15" i="8" s="1"/>
  <c r="AH15" i="8" s="1"/>
  <c r="AI15" i="8" s="1"/>
  <c r="AJ15" i="8" s="1"/>
  <c r="AK15" i="8" s="1"/>
  <c r="AL15" i="8" s="1"/>
  <c r="AM15" i="8" s="1"/>
  <c r="AN15" i="8" s="1"/>
  <c r="AO15" i="8" s="1"/>
  <c r="AP15" i="8" s="1"/>
  <c r="AQ15" i="8" s="1"/>
  <c r="AR15" i="8" s="1"/>
  <c r="AS15" i="8" s="1"/>
  <c r="AT15" i="8" s="1"/>
  <c r="AU15" i="8" s="1"/>
  <c r="AV15" i="8" s="1"/>
  <c r="AW15" i="8" s="1"/>
  <c r="AX15" i="8" s="1"/>
  <c r="AY15" i="8" s="1"/>
  <c r="AZ15" i="8" s="1"/>
  <c r="BA15" i="8" s="1"/>
  <c r="BB15" i="8" s="1"/>
  <c r="BC15" i="8" s="1"/>
  <c r="BD15" i="8" s="1"/>
  <c r="BE15" i="8" s="1"/>
  <c r="BF15" i="8" s="1"/>
  <c r="BG15" i="8" s="1"/>
  <c r="BH15" i="8" s="1"/>
  <c r="BI15" i="8" s="1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AL18" i="7" s="1"/>
  <c r="AM18" i="7" s="1"/>
  <c r="AN18" i="7" s="1"/>
  <c r="AO18" i="7" s="1"/>
  <c r="AP18" i="7" s="1"/>
  <c r="AQ18" i="7" s="1"/>
  <c r="AR18" i="7" s="1"/>
  <c r="AS18" i="7" s="1"/>
  <c r="AT18" i="7" s="1"/>
  <c r="AU18" i="7" s="1"/>
  <c r="AV18" i="7" s="1"/>
  <c r="AW18" i="7" s="1"/>
  <c r="AX18" i="7" s="1"/>
  <c r="AY18" i="7" s="1"/>
  <c r="AZ18" i="7" s="1"/>
  <c r="BA18" i="7" s="1"/>
  <c r="BB18" i="7" s="1"/>
  <c r="BC18" i="7" s="1"/>
  <c r="BD18" i="7" s="1"/>
  <c r="BE18" i="7" s="1"/>
  <c r="BF18" i="7" s="1"/>
  <c r="BG18" i="7" s="1"/>
  <c r="BH18" i="7" s="1"/>
  <c r="BI18" i="7" s="1"/>
  <c r="B16" i="8" l="1"/>
  <c r="B6" i="8"/>
  <c r="B27" i="7"/>
  <c r="B8" i="8" s="1"/>
  <c r="B3" i="8" s="1"/>
  <c r="B9" i="8" s="1"/>
  <c r="Z28" i="8"/>
  <c r="D28" i="6"/>
  <c r="BI1" i="8"/>
  <c r="E8" i="6"/>
  <c r="Z13" i="8" s="1"/>
  <c r="C8" i="6"/>
  <c r="B13" i="8" s="1"/>
  <c r="B8" i="6"/>
  <c r="D19" i="7"/>
  <c r="B12" i="7"/>
  <c r="B11" i="7"/>
  <c r="C17" i="7"/>
  <c r="D17" i="7" s="1"/>
  <c r="E17" i="7" s="1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Q17" i="7" s="1"/>
  <c r="R17" i="7" s="1"/>
  <c r="S17" i="7" s="1"/>
  <c r="T17" i="7" s="1"/>
  <c r="U17" i="7" s="1"/>
  <c r="V17" i="7" s="1"/>
  <c r="W17" i="7" s="1"/>
  <c r="X17" i="7" s="1"/>
  <c r="Y17" i="7" s="1"/>
  <c r="Z17" i="7" s="1"/>
  <c r="AA17" i="7" s="1"/>
  <c r="AB17" i="7" s="1"/>
  <c r="AC17" i="7" s="1"/>
  <c r="AD17" i="7" s="1"/>
  <c r="AE17" i="7" s="1"/>
  <c r="AF17" i="7" s="1"/>
  <c r="AG17" i="7" s="1"/>
  <c r="AH17" i="7" s="1"/>
  <c r="AI17" i="7" s="1"/>
  <c r="AJ17" i="7" s="1"/>
  <c r="AK17" i="7" s="1"/>
  <c r="AL17" i="7" s="1"/>
  <c r="AM17" i="7" s="1"/>
  <c r="AN17" i="7" s="1"/>
  <c r="AO17" i="7" s="1"/>
  <c r="AP17" i="7" s="1"/>
  <c r="AQ17" i="7" s="1"/>
  <c r="AR17" i="7" s="1"/>
  <c r="AS17" i="7" s="1"/>
  <c r="AT17" i="7" s="1"/>
  <c r="AU17" i="7" s="1"/>
  <c r="AV17" i="7" s="1"/>
  <c r="AW17" i="7" s="1"/>
  <c r="AX17" i="7" s="1"/>
  <c r="AY17" i="7" s="1"/>
  <c r="AZ17" i="7" s="1"/>
  <c r="BA17" i="7" s="1"/>
  <c r="BB17" i="7" s="1"/>
  <c r="BC17" i="7" s="1"/>
  <c r="BD17" i="7" s="1"/>
  <c r="BE17" i="7" s="1"/>
  <c r="BF17" i="7" s="1"/>
  <c r="BG17" i="7" s="1"/>
  <c r="BH17" i="7" s="1"/>
  <c r="BI17" i="7" s="1"/>
  <c r="B14" i="8"/>
  <c r="C14" i="8" s="1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Q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F14" i="8" s="1"/>
  <c r="BG14" i="8" s="1"/>
  <c r="BH14" i="8" s="1"/>
  <c r="BI14" i="8" s="1"/>
  <c r="C11" i="7" l="1"/>
  <c r="D11" i="7" s="1"/>
  <c r="E11" i="7" s="1"/>
  <c r="F11" i="7" s="1"/>
  <c r="C20" i="7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E20" i="7" s="1"/>
  <c r="AF20" i="7" s="1"/>
  <c r="AG20" i="7" s="1"/>
  <c r="AH20" i="7" s="1"/>
  <c r="AI20" i="7" s="1"/>
  <c r="AJ20" i="7" s="1"/>
  <c r="AK20" i="7" s="1"/>
  <c r="AL20" i="7" s="1"/>
  <c r="AM20" i="7" s="1"/>
  <c r="AN20" i="7" s="1"/>
  <c r="AO20" i="7" s="1"/>
  <c r="AP20" i="7" s="1"/>
  <c r="AQ20" i="7" s="1"/>
  <c r="AR20" i="7" s="1"/>
  <c r="AS20" i="7" s="1"/>
  <c r="AT20" i="7" s="1"/>
  <c r="AU20" i="7" s="1"/>
  <c r="AV20" i="7" s="1"/>
  <c r="AW20" i="7" s="1"/>
  <c r="AX20" i="7" s="1"/>
  <c r="AY20" i="7" s="1"/>
  <c r="AZ20" i="7" s="1"/>
  <c r="BA20" i="7" s="1"/>
  <c r="BB20" i="7" s="1"/>
  <c r="BC20" i="7" s="1"/>
  <c r="BD20" i="7" s="1"/>
  <c r="BE20" i="7" s="1"/>
  <c r="BF20" i="7" s="1"/>
  <c r="BG20" i="7" s="1"/>
  <c r="BH20" i="7" s="1"/>
  <c r="BI20" i="7" s="1"/>
  <c r="C12" i="7"/>
  <c r="D12" i="7" s="1"/>
  <c r="E12" i="7" s="1"/>
  <c r="F12" i="7" s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21" i="7" s="1"/>
  <c r="AI21" i="7" s="1"/>
  <c r="AJ21" i="7" s="1"/>
  <c r="AK21" i="7" s="1"/>
  <c r="AL21" i="7" s="1"/>
  <c r="AM21" i="7" s="1"/>
  <c r="AN21" i="7" s="1"/>
  <c r="AO21" i="7" s="1"/>
  <c r="AP21" i="7" s="1"/>
  <c r="AQ21" i="7" s="1"/>
  <c r="AR21" i="7" s="1"/>
  <c r="AS21" i="7" s="1"/>
  <c r="AT21" i="7" s="1"/>
  <c r="AU21" i="7" s="1"/>
  <c r="AV21" i="7" s="1"/>
  <c r="AW21" i="7" s="1"/>
  <c r="AX21" i="7" s="1"/>
  <c r="AY21" i="7" s="1"/>
  <c r="AZ21" i="7" s="1"/>
  <c r="BA21" i="7" s="1"/>
  <c r="BB21" i="7" s="1"/>
  <c r="BC21" i="7" s="1"/>
  <c r="BD21" i="7" s="1"/>
  <c r="BE21" i="7" s="1"/>
  <c r="BF21" i="7" s="1"/>
  <c r="BG21" i="7" s="1"/>
  <c r="BH21" i="7" s="1"/>
  <c r="BI21" i="7" s="1"/>
  <c r="B28" i="6"/>
  <c r="Z26" i="8" s="1"/>
  <c r="F28" i="6"/>
  <c r="D29" i="6" s="1"/>
  <c r="C13" i="7"/>
  <c r="D13" i="7" s="1"/>
  <c r="E13" i="7" s="1"/>
  <c r="F13" i="7" s="1"/>
  <c r="C25" i="7"/>
  <c r="C6" i="8" l="1"/>
  <c r="F29" i="6"/>
  <c r="D30" i="6" s="1"/>
  <c r="B29" i="6"/>
  <c r="AL26" i="8" s="1"/>
  <c r="C26" i="7"/>
  <c r="C7" i="8" s="1"/>
  <c r="C24" i="7"/>
  <c r="C5" i="8" s="1"/>
  <c r="E19" i="7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P19" i="7" s="1"/>
  <c r="Q19" i="7" s="1"/>
  <c r="R19" i="7" s="1"/>
  <c r="S19" i="7" s="1"/>
  <c r="T19" i="7" s="1"/>
  <c r="U19" i="7" s="1"/>
  <c r="V19" i="7" s="1"/>
  <c r="W19" i="7" s="1"/>
  <c r="X19" i="7" s="1"/>
  <c r="Y19" i="7" s="1"/>
  <c r="Z19" i="7" s="1"/>
  <c r="C23" i="7"/>
  <c r="C4" i="8" s="1"/>
  <c r="C22" i="7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26" i="8"/>
  <c r="C26" i="8" s="1"/>
  <c r="D26" i="8" s="1"/>
  <c r="E26" i="8" s="1"/>
  <c r="F26" i="8" s="1"/>
  <c r="G26" i="8" s="1"/>
  <c r="H26" i="8" s="1"/>
  <c r="I26" i="8" s="1"/>
  <c r="J26" i="8" s="1"/>
  <c r="K26" i="8" s="1"/>
  <c r="L26" i="8" s="1"/>
  <c r="M26" i="8" s="1"/>
  <c r="O26" i="8" s="1"/>
  <c r="P26" i="8" s="1"/>
  <c r="Q26" i="8" s="1"/>
  <c r="R26" i="8" s="1"/>
  <c r="S26" i="8" s="1"/>
  <c r="T26" i="8" s="1"/>
  <c r="U26" i="8" s="1"/>
  <c r="V26" i="8" s="1"/>
  <c r="W26" i="8" s="1"/>
  <c r="X26" i="8" s="1"/>
  <c r="Y26" i="8" s="1"/>
  <c r="AA26" i="8" s="1"/>
  <c r="AB26" i="8" s="1"/>
  <c r="AC26" i="8" s="1"/>
  <c r="AD26" i="8" s="1"/>
  <c r="AE26" i="8" s="1"/>
  <c r="AF26" i="8" s="1"/>
  <c r="AG26" i="8" s="1"/>
  <c r="AH26" i="8" s="1"/>
  <c r="AI26" i="8" s="1"/>
  <c r="AJ26" i="8" s="1"/>
  <c r="AK26" i="8" s="1"/>
  <c r="B25" i="8"/>
  <c r="C25" i="8" s="1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U25" i="8" s="1"/>
  <c r="V25" i="8" s="1"/>
  <c r="W25" i="8" s="1"/>
  <c r="X25" i="8" s="1"/>
  <c r="Y25" i="8" s="1"/>
  <c r="Z25" i="8" s="1"/>
  <c r="AA25" i="8" s="1"/>
  <c r="AB25" i="8" s="1"/>
  <c r="AC25" i="8" s="1"/>
  <c r="AD25" i="8" s="1"/>
  <c r="AE25" i="8" s="1"/>
  <c r="AF25" i="8" s="1"/>
  <c r="AG25" i="8" s="1"/>
  <c r="AH25" i="8" s="1"/>
  <c r="AI25" i="8" s="1"/>
  <c r="AJ25" i="8" s="1"/>
  <c r="AK25" i="8" s="1"/>
  <c r="AL25" i="8" s="1"/>
  <c r="AM25" i="8" s="1"/>
  <c r="AN25" i="8" s="1"/>
  <c r="AO25" i="8" s="1"/>
  <c r="AP25" i="8" s="1"/>
  <c r="AQ25" i="8" s="1"/>
  <c r="AR25" i="8" s="1"/>
  <c r="AS25" i="8" s="1"/>
  <c r="AT25" i="8" s="1"/>
  <c r="AU25" i="8" s="1"/>
  <c r="AV25" i="8" s="1"/>
  <c r="AW25" i="8" s="1"/>
  <c r="AX25" i="8" s="1"/>
  <c r="AY25" i="8" s="1"/>
  <c r="AZ25" i="8" s="1"/>
  <c r="BA25" i="8" s="1"/>
  <c r="BB25" i="8" s="1"/>
  <c r="BC25" i="8" s="1"/>
  <c r="BD25" i="8" s="1"/>
  <c r="BE25" i="8" s="1"/>
  <c r="BF25" i="8" s="1"/>
  <c r="BG25" i="8" s="1"/>
  <c r="BH25" i="8" s="1"/>
  <c r="BI25" i="8" s="1"/>
  <c r="B24" i="8"/>
  <c r="C24" i="8" s="1"/>
  <c r="D24" i="8" s="1"/>
  <c r="E24" i="8" s="1"/>
  <c r="F24" i="8" s="1"/>
  <c r="G24" i="8" s="1"/>
  <c r="H24" i="8" s="1"/>
  <c r="I24" i="8" s="1"/>
  <c r="J24" i="8" s="1"/>
  <c r="K24" i="8" s="1"/>
  <c r="L24" i="8" s="1"/>
  <c r="M24" i="8" s="1"/>
  <c r="N24" i="8" s="1"/>
  <c r="O24" i="8" s="1"/>
  <c r="P24" i="8" s="1"/>
  <c r="Q24" i="8" s="1"/>
  <c r="R24" i="8" s="1"/>
  <c r="S24" i="8" s="1"/>
  <c r="T24" i="8" s="1"/>
  <c r="U24" i="8" s="1"/>
  <c r="V24" i="8" s="1"/>
  <c r="W24" i="8" s="1"/>
  <c r="X24" i="8" s="1"/>
  <c r="Y24" i="8" s="1"/>
  <c r="Z24" i="8" s="1"/>
  <c r="AA24" i="8" s="1"/>
  <c r="AB24" i="8" s="1"/>
  <c r="AC24" i="8" s="1"/>
  <c r="AD24" i="8" s="1"/>
  <c r="AE24" i="8" s="1"/>
  <c r="AF24" i="8" s="1"/>
  <c r="AG24" i="8" s="1"/>
  <c r="AH24" i="8" s="1"/>
  <c r="AI24" i="8" s="1"/>
  <c r="AJ24" i="8" s="1"/>
  <c r="AK24" i="8" s="1"/>
  <c r="AL24" i="8" s="1"/>
  <c r="AM24" i="8" s="1"/>
  <c r="AN24" i="8" s="1"/>
  <c r="AO24" i="8" s="1"/>
  <c r="AP24" i="8" s="1"/>
  <c r="AQ24" i="8" s="1"/>
  <c r="AR24" i="8" s="1"/>
  <c r="AS24" i="8" s="1"/>
  <c r="AT24" i="8" s="1"/>
  <c r="AU24" i="8" s="1"/>
  <c r="AV24" i="8" s="1"/>
  <c r="AW24" i="8" s="1"/>
  <c r="AX24" i="8" s="1"/>
  <c r="AY24" i="8" s="1"/>
  <c r="AZ24" i="8" s="1"/>
  <c r="BA24" i="8" s="1"/>
  <c r="BB24" i="8" s="1"/>
  <c r="BC24" i="8" s="1"/>
  <c r="BD24" i="8" s="1"/>
  <c r="BE24" i="8" s="1"/>
  <c r="BF24" i="8" s="1"/>
  <c r="BG24" i="8" s="1"/>
  <c r="BH24" i="8" s="1"/>
  <c r="BI24" i="8" s="1"/>
  <c r="B22" i="8"/>
  <c r="C22" i="8" s="1"/>
  <c r="D22" i="8" s="1"/>
  <c r="E22" i="8" s="1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P22" i="8" s="1"/>
  <c r="Q22" i="8" s="1"/>
  <c r="R22" i="8" s="1"/>
  <c r="S22" i="8" s="1"/>
  <c r="T22" i="8" s="1"/>
  <c r="U22" i="8" s="1"/>
  <c r="V22" i="8" s="1"/>
  <c r="W22" i="8" s="1"/>
  <c r="X22" i="8" s="1"/>
  <c r="Y22" i="8" s="1"/>
  <c r="Z22" i="8" s="1"/>
  <c r="AA22" i="8" s="1"/>
  <c r="AB22" i="8" s="1"/>
  <c r="AC22" i="8" s="1"/>
  <c r="AD22" i="8" s="1"/>
  <c r="AE22" i="8" s="1"/>
  <c r="AF22" i="8" s="1"/>
  <c r="AG22" i="8" s="1"/>
  <c r="AH22" i="8" s="1"/>
  <c r="AI22" i="8" s="1"/>
  <c r="AJ22" i="8" s="1"/>
  <c r="AK22" i="8" s="1"/>
  <c r="AL22" i="8" s="1"/>
  <c r="AM22" i="8" s="1"/>
  <c r="AN22" i="8" s="1"/>
  <c r="AO22" i="8" s="1"/>
  <c r="AP22" i="8" s="1"/>
  <c r="AQ22" i="8" s="1"/>
  <c r="AR22" i="8" s="1"/>
  <c r="AS22" i="8" s="1"/>
  <c r="AT22" i="8" s="1"/>
  <c r="AU22" i="8" s="1"/>
  <c r="AV22" i="8" s="1"/>
  <c r="AW22" i="8" s="1"/>
  <c r="AX22" i="8" s="1"/>
  <c r="AY22" i="8" s="1"/>
  <c r="AZ22" i="8" s="1"/>
  <c r="BA22" i="8" s="1"/>
  <c r="BB22" i="8" s="1"/>
  <c r="BC22" i="8" s="1"/>
  <c r="BD22" i="8" s="1"/>
  <c r="BE22" i="8" s="1"/>
  <c r="BF22" i="8" s="1"/>
  <c r="BG22" i="8" s="1"/>
  <c r="BH22" i="8" s="1"/>
  <c r="BI22" i="8" s="1"/>
  <c r="B21" i="8"/>
  <c r="C21" i="8" s="1"/>
  <c r="D21" i="8" s="1"/>
  <c r="E21" i="8" s="1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Q21" i="8" s="1"/>
  <c r="R21" i="8" s="1"/>
  <c r="S21" i="8" s="1"/>
  <c r="T21" i="8" s="1"/>
  <c r="U21" i="8" s="1"/>
  <c r="V21" i="8" s="1"/>
  <c r="W21" i="8" s="1"/>
  <c r="X21" i="8" s="1"/>
  <c r="Y21" i="8" s="1"/>
  <c r="Z21" i="8" s="1"/>
  <c r="AA21" i="8" s="1"/>
  <c r="AB21" i="8" s="1"/>
  <c r="AC21" i="8" s="1"/>
  <c r="AD21" i="8" s="1"/>
  <c r="AE21" i="8" s="1"/>
  <c r="AF21" i="8" s="1"/>
  <c r="AG21" i="8" s="1"/>
  <c r="AH21" i="8" s="1"/>
  <c r="AI21" i="8" s="1"/>
  <c r="AJ21" i="8" s="1"/>
  <c r="AK21" i="8" s="1"/>
  <c r="AL21" i="8" s="1"/>
  <c r="AM21" i="8" s="1"/>
  <c r="AN21" i="8" s="1"/>
  <c r="AO21" i="8" s="1"/>
  <c r="AP21" i="8" s="1"/>
  <c r="AQ21" i="8" s="1"/>
  <c r="AR21" i="8" s="1"/>
  <c r="AS21" i="8" s="1"/>
  <c r="AT21" i="8" s="1"/>
  <c r="AU21" i="8" s="1"/>
  <c r="AV21" i="8" s="1"/>
  <c r="AW21" i="8" s="1"/>
  <c r="AX21" i="8" s="1"/>
  <c r="AY21" i="8" s="1"/>
  <c r="AZ21" i="8" s="1"/>
  <c r="BA21" i="8" s="1"/>
  <c r="BB21" i="8" s="1"/>
  <c r="BC21" i="8" s="1"/>
  <c r="BD21" i="8" s="1"/>
  <c r="BE21" i="8" s="1"/>
  <c r="BF21" i="8" s="1"/>
  <c r="BG21" i="8" s="1"/>
  <c r="BH21" i="8" s="1"/>
  <c r="BI21" i="8" s="1"/>
  <c r="B20" i="8"/>
  <c r="C20" i="8" s="1"/>
  <c r="D20" i="8" s="1"/>
  <c r="E20" i="8" s="1"/>
  <c r="F20" i="8" s="1"/>
  <c r="G20" i="8" s="1"/>
  <c r="H20" i="8" s="1"/>
  <c r="I20" i="8" s="1"/>
  <c r="J20" i="8" s="1"/>
  <c r="K20" i="8" s="1"/>
  <c r="L20" i="8" s="1"/>
  <c r="M20" i="8" s="1"/>
  <c r="N20" i="8" s="1"/>
  <c r="O20" i="8" s="1"/>
  <c r="P20" i="8" s="1"/>
  <c r="Q20" i="8" s="1"/>
  <c r="R20" i="8" s="1"/>
  <c r="S20" i="8" s="1"/>
  <c r="T20" i="8" s="1"/>
  <c r="U20" i="8" s="1"/>
  <c r="V20" i="8" s="1"/>
  <c r="W20" i="8" s="1"/>
  <c r="X20" i="8" s="1"/>
  <c r="Y20" i="8" s="1"/>
  <c r="Z20" i="8" s="1"/>
  <c r="AA20" i="8" s="1"/>
  <c r="AB20" i="8" s="1"/>
  <c r="AC20" i="8" s="1"/>
  <c r="AD20" i="8" s="1"/>
  <c r="AE20" i="8" s="1"/>
  <c r="AF20" i="8" s="1"/>
  <c r="AG20" i="8" s="1"/>
  <c r="AH20" i="8" s="1"/>
  <c r="AI20" i="8" s="1"/>
  <c r="AJ20" i="8" s="1"/>
  <c r="AK20" i="8" s="1"/>
  <c r="AL20" i="8" s="1"/>
  <c r="AM20" i="8" s="1"/>
  <c r="AN20" i="8" s="1"/>
  <c r="AO20" i="8" s="1"/>
  <c r="AP20" i="8" s="1"/>
  <c r="AQ20" i="8" s="1"/>
  <c r="AR20" i="8" s="1"/>
  <c r="AS20" i="8" s="1"/>
  <c r="AT20" i="8" s="1"/>
  <c r="AU20" i="8" s="1"/>
  <c r="AV20" i="8" s="1"/>
  <c r="AW20" i="8" s="1"/>
  <c r="AX20" i="8" s="1"/>
  <c r="AY20" i="8" s="1"/>
  <c r="AZ20" i="8" s="1"/>
  <c r="BA20" i="8" s="1"/>
  <c r="BB20" i="8" s="1"/>
  <c r="BC20" i="8" s="1"/>
  <c r="BD20" i="8" s="1"/>
  <c r="BE20" i="8" s="1"/>
  <c r="BF20" i="8" s="1"/>
  <c r="BG20" i="8" s="1"/>
  <c r="BH20" i="8" s="1"/>
  <c r="BI20" i="8" s="1"/>
  <c r="B19" i="8"/>
  <c r="C19" i="8" s="1"/>
  <c r="D19" i="8" s="1"/>
  <c r="E19" i="8" s="1"/>
  <c r="F19" i="8" s="1"/>
  <c r="G19" i="8" s="1"/>
  <c r="H19" i="8" s="1"/>
  <c r="I19" i="8" s="1"/>
  <c r="J19" i="8" s="1"/>
  <c r="K19" i="8" s="1"/>
  <c r="L19" i="8" s="1"/>
  <c r="M19" i="8" s="1"/>
  <c r="N19" i="8" s="1"/>
  <c r="O19" i="8" s="1"/>
  <c r="P19" i="8" s="1"/>
  <c r="Q19" i="8" s="1"/>
  <c r="R19" i="8" s="1"/>
  <c r="S19" i="8" s="1"/>
  <c r="T19" i="8" s="1"/>
  <c r="U19" i="8" s="1"/>
  <c r="V19" i="8" s="1"/>
  <c r="W19" i="8" s="1"/>
  <c r="X19" i="8" s="1"/>
  <c r="Y19" i="8" s="1"/>
  <c r="Z19" i="8" s="1"/>
  <c r="AA19" i="8" s="1"/>
  <c r="AB19" i="8" s="1"/>
  <c r="AC19" i="8" s="1"/>
  <c r="AD19" i="8" s="1"/>
  <c r="AE19" i="8" s="1"/>
  <c r="AF19" i="8" s="1"/>
  <c r="AG19" i="8" s="1"/>
  <c r="AH19" i="8" s="1"/>
  <c r="AI19" i="8" s="1"/>
  <c r="AJ19" i="8" s="1"/>
  <c r="AK19" i="8" s="1"/>
  <c r="AL19" i="8" s="1"/>
  <c r="AM19" i="8" s="1"/>
  <c r="AN19" i="8" s="1"/>
  <c r="AO19" i="8" s="1"/>
  <c r="AP19" i="8" s="1"/>
  <c r="AQ19" i="8" s="1"/>
  <c r="AR19" i="8" s="1"/>
  <c r="AS19" i="8" s="1"/>
  <c r="AT19" i="8" s="1"/>
  <c r="AU19" i="8" s="1"/>
  <c r="AV19" i="8" s="1"/>
  <c r="AW19" i="8" s="1"/>
  <c r="AX19" i="8" s="1"/>
  <c r="AY19" i="8" s="1"/>
  <c r="AZ19" i="8" s="1"/>
  <c r="BA19" i="8" s="1"/>
  <c r="BB19" i="8" s="1"/>
  <c r="BC19" i="8" s="1"/>
  <c r="BD19" i="8" s="1"/>
  <c r="BE19" i="8" s="1"/>
  <c r="BF19" i="8" s="1"/>
  <c r="BG19" i="8" s="1"/>
  <c r="BH19" i="8" s="1"/>
  <c r="BI19" i="8" s="1"/>
  <c r="B18" i="8"/>
  <c r="C13" i="8"/>
  <c r="D2" i="9"/>
  <c r="B9" i="3" s="1"/>
  <c r="D4" i="9"/>
  <c r="AA9" i="3" s="1"/>
  <c r="D3" i="9"/>
  <c r="O9" i="3" s="1"/>
  <c r="C27" i="7" l="1"/>
  <c r="C8" i="8" s="1"/>
  <c r="C3" i="8" s="1"/>
  <c r="C9" i="8" s="1"/>
  <c r="AM26" i="8"/>
  <c r="AN26" i="8" s="1"/>
  <c r="AO26" i="8" s="1"/>
  <c r="AP26" i="8" s="1"/>
  <c r="AQ26" i="8" s="1"/>
  <c r="AR26" i="8" s="1"/>
  <c r="AS26" i="8" s="1"/>
  <c r="AT26" i="8" s="1"/>
  <c r="AU26" i="8" s="1"/>
  <c r="AV26" i="8" s="1"/>
  <c r="AW26" i="8" s="1"/>
  <c r="B12" i="8"/>
  <c r="B10" i="8" s="1"/>
  <c r="B30" i="6"/>
  <c r="AX26" i="8" s="1"/>
  <c r="AY26" i="8" s="1"/>
  <c r="AZ26" i="8" s="1"/>
  <c r="BA26" i="8" s="1"/>
  <c r="BB26" i="8" s="1"/>
  <c r="BC26" i="8" s="1"/>
  <c r="BD26" i="8" s="1"/>
  <c r="BE26" i="8" s="1"/>
  <c r="BF26" i="8" s="1"/>
  <c r="BG26" i="8" s="1"/>
  <c r="BH26" i="8" s="1"/>
  <c r="BI26" i="8" s="1"/>
  <c r="F30" i="6"/>
  <c r="B11" i="8"/>
  <c r="C16" i="8"/>
  <c r="AA19" i="7"/>
  <c r="D13" i="8"/>
  <c r="C18" i="8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N18" i="8" s="1"/>
  <c r="D23" i="7"/>
  <c r="D4" i="8" s="1"/>
  <c r="D24" i="7"/>
  <c r="D5" i="8" s="1"/>
  <c r="D26" i="7"/>
  <c r="D25" i="7"/>
  <c r="N28" i="8"/>
  <c r="D22" i="7"/>
  <c r="D6" i="8" l="1"/>
  <c r="D27" i="7"/>
  <c r="D8" i="8" s="1"/>
  <c r="B27" i="8"/>
  <c r="E26" i="7"/>
  <c r="D7" i="8"/>
  <c r="C11" i="8"/>
  <c r="D16" i="8"/>
  <c r="D12" i="8" s="1"/>
  <c r="AB19" i="7"/>
  <c r="C28" i="8"/>
  <c r="O18" i="8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C12" i="8"/>
  <c r="C10" i="8" s="1"/>
  <c r="E13" i="8"/>
  <c r="E23" i="7"/>
  <c r="E4" i="8" s="1"/>
  <c r="E24" i="7"/>
  <c r="E5" i="8" s="1"/>
  <c r="E25" i="7"/>
  <c r="E22" i="7"/>
  <c r="E6" i="8" l="1"/>
  <c r="E27" i="7"/>
  <c r="E8" i="8" s="1"/>
  <c r="D3" i="8"/>
  <c r="D9" i="8" s="1"/>
  <c r="F26" i="7"/>
  <c r="E7" i="8"/>
  <c r="D11" i="8"/>
  <c r="D27" i="8" s="1"/>
  <c r="E16" i="8"/>
  <c r="E12" i="8" s="1"/>
  <c r="AC19" i="7"/>
  <c r="B29" i="8"/>
  <c r="B32" i="8" s="1"/>
  <c r="B33" i="8" s="1"/>
  <c r="C5" i="3"/>
  <c r="D28" i="8"/>
  <c r="D5" i="3"/>
  <c r="AA18" i="8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AX18" i="8" s="1"/>
  <c r="AY18" i="8" s="1"/>
  <c r="AZ18" i="8" s="1"/>
  <c r="BA18" i="8" s="1"/>
  <c r="BB18" i="8" s="1"/>
  <c r="BC18" i="8" s="1"/>
  <c r="BD18" i="8" s="1"/>
  <c r="BE18" i="8" s="1"/>
  <c r="BF18" i="8" s="1"/>
  <c r="BG18" i="8" s="1"/>
  <c r="BH18" i="8" s="1"/>
  <c r="BI18" i="8" s="1"/>
  <c r="C27" i="8"/>
  <c r="C29" i="8" s="1"/>
  <c r="C32" i="8" s="1"/>
  <c r="C33" i="8" s="1"/>
  <c r="F13" i="8"/>
  <c r="F23" i="7"/>
  <c r="F4" i="8" s="1"/>
  <c r="F24" i="7"/>
  <c r="F5" i="8" s="1"/>
  <c r="F25" i="7"/>
  <c r="F22" i="7"/>
  <c r="F6" i="8" l="1"/>
  <c r="F27" i="7"/>
  <c r="F8" i="8" s="1"/>
  <c r="D10" i="8"/>
  <c r="E3" i="8"/>
  <c r="E9" i="8" s="1"/>
  <c r="D29" i="8"/>
  <c r="D32" i="8" s="1"/>
  <c r="D33" i="8" s="1"/>
  <c r="D34" i="8" s="1"/>
  <c r="E3" i="3" s="1"/>
  <c r="G26" i="7"/>
  <c r="F7" i="8"/>
  <c r="F16" i="8"/>
  <c r="F12" i="8" s="1"/>
  <c r="AD19" i="7"/>
  <c r="B34" i="8"/>
  <c r="C3" i="3" s="1"/>
  <c r="C7" i="3" s="1"/>
  <c r="E28" i="8"/>
  <c r="E5" i="3"/>
  <c r="E11" i="8"/>
  <c r="E27" i="8" s="1"/>
  <c r="C34" i="8"/>
  <c r="D3" i="3" s="1"/>
  <c r="D7" i="3" s="1"/>
  <c r="G13" i="8"/>
  <c r="G24" i="7"/>
  <c r="G5" i="8" s="1"/>
  <c r="G23" i="7"/>
  <c r="G4" i="8" s="1"/>
  <c r="G25" i="7"/>
  <c r="G22" i="7"/>
  <c r="F3" i="8" l="1"/>
  <c r="F9" i="8" s="1"/>
  <c r="F11" i="8" s="1"/>
  <c r="F27" i="8" s="1"/>
  <c r="G6" i="8"/>
  <c r="G27" i="7"/>
  <c r="G8" i="8" s="1"/>
  <c r="E10" i="8"/>
  <c r="H26" i="7"/>
  <c r="G7" i="8"/>
  <c r="F10" i="8"/>
  <c r="G16" i="8"/>
  <c r="G12" i="8" s="1"/>
  <c r="AE19" i="7"/>
  <c r="F28" i="8"/>
  <c r="F5" i="3"/>
  <c r="E7" i="3"/>
  <c r="E29" i="8"/>
  <c r="E32" i="8" s="1"/>
  <c r="E33" i="8" s="1"/>
  <c r="H13" i="8"/>
  <c r="H23" i="7"/>
  <c r="H4" i="8" s="1"/>
  <c r="H24" i="7"/>
  <c r="H5" i="8" s="1"/>
  <c r="H25" i="7"/>
  <c r="H22" i="7"/>
  <c r="H6" i="8" l="1"/>
  <c r="H27" i="7"/>
  <c r="H8" i="8" s="1"/>
  <c r="G3" i="8"/>
  <c r="G9" i="8" s="1"/>
  <c r="I26" i="7"/>
  <c r="H7" i="8"/>
  <c r="G11" i="8"/>
  <c r="G27" i="8" s="1"/>
  <c r="G10" i="8"/>
  <c r="H16" i="8"/>
  <c r="H12" i="8" s="1"/>
  <c r="AF19" i="7"/>
  <c r="E34" i="8"/>
  <c r="F3" i="3" s="1"/>
  <c r="F7" i="3" s="1"/>
  <c r="G28" i="8"/>
  <c r="G5" i="3"/>
  <c r="F29" i="8"/>
  <c r="F32" i="8" s="1"/>
  <c r="F33" i="8" s="1"/>
  <c r="I13" i="8"/>
  <c r="I24" i="7"/>
  <c r="I5" i="8" s="1"/>
  <c r="I23" i="7"/>
  <c r="I4" i="8" s="1"/>
  <c r="I25" i="7"/>
  <c r="I22" i="7"/>
  <c r="I6" i="8" l="1"/>
  <c r="I27" i="7"/>
  <c r="I8" i="8" s="1"/>
  <c r="H3" i="8"/>
  <c r="H9" i="8" s="1"/>
  <c r="J26" i="7"/>
  <c r="I7" i="8"/>
  <c r="I16" i="8"/>
  <c r="I12" i="8" s="1"/>
  <c r="H10" i="8"/>
  <c r="AG19" i="7"/>
  <c r="F34" i="8"/>
  <c r="G3" i="3" s="1"/>
  <c r="G7" i="3" s="1"/>
  <c r="H28" i="8"/>
  <c r="H5" i="3"/>
  <c r="G29" i="8"/>
  <c r="G32" i="8" s="1"/>
  <c r="G33" i="8" s="1"/>
  <c r="H11" i="8"/>
  <c r="H27" i="8" s="1"/>
  <c r="J13" i="8"/>
  <c r="J23" i="7"/>
  <c r="J4" i="8" s="1"/>
  <c r="J24" i="7"/>
  <c r="J5" i="8" s="1"/>
  <c r="J25" i="7"/>
  <c r="J22" i="7"/>
  <c r="J6" i="8" l="1"/>
  <c r="J27" i="7"/>
  <c r="J8" i="8" s="1"/>
  <c r="I3" i="8"/>
  <c r="I9" i="8" s="1"/>
  <c r="K26" i="7"/>
  <c r="J7" i="8"/>
  <c r="I11" i="8"/>
  <c r="I27" i="8" s="1"/>
  <c r="I10" i="8"/>
  <c r="J16" i="8"/>
  <c r="J12" i="8" s="1"/>
  <c r="G34" i="8"/>
  <c r="H3" i="3" s="1"/>
  <c r="H7" i="3" s="1"/>
  <c r="AH19" i="7"/>
  <c r="H29" i="8"/>
  <c r="H32" i="8" s="1"/>
  <c r="H33" i="8" s="1"/>
  <c r="I28" i="8"/>
  <c r="I5" i="3"/>
  <c r="K13" i="8"/>
  <c r="K24" i="7"/>
  <c r="K5" i="8" s="1"/>
  <c r="K23" i="7"/>
  <c r="K25" i="7"/>
  <c r="K22" i="7"/>
  <c r="K6" i="8" l="1"/>
  <c r="K27" i="7"/>
  <c r="K8" i="8" s="1"/>
  <c r="J3" i="8"/>
  <c r="J9" i="8" s="1"/>
  <c r="I29" i="8"/>
  <c r="I32" i="8" s="1"/>
  <c r="I33" i="8" s="1"/>
  <c r="K16" i="8"/>
  <c r="K12" i="8" s="1"/>
  <c r="K4" i="8"/>
  <c r="L26" i="7"/>
  <c r="K7" i="8"/>
  <c r="J10" i="8"/>
  <c r="AI19" i="7"/>
  <c r="H34" i="8"/>
  <c r="I3" i="3" s="1"/>
  <c r="I7" i="3" s="1"/>
  <c r="J28" i="8"/>
  <c r="J5" i="3"/>
  <c r="J11" i="8"/>
  <c r="J27" i="8" s="1"/>
  <c r="L13" i="8"/>
  <c r="L23" i="7"/>
  <c r="L4" i="8" s="1"/>
  <c r="L24" i="7"/>
  <c r="L5" i="8" s="1"/>
  <c r="L25" i="7"/>
  <c r="L22" i="7"/>
  <c r="L6" i="8" l="1"/>
  <c r="L27" i="7"/>
  <c r="L8" i="8" s="1"/>
  <c r="I34" i="8"/>
  <c r="J3" i="3" s="1"/>
  <c r="J7" i="3" s="1"/>
  <c r="K3" i="8"/>
  <c r="K9" i="8" s="1"/>
  <c r="M26" i="7"/>
  <c r="L7" i="8"/>
  <c r="L16" i="8"/>
  <c r="L12" i="8" s="1"/>
  <c r="AJ19" i="7"/>
  <c r="J29" i="8"/>
  <c r="J32" i="8" s="1"/>
  <c r="J33" i="8" s="1"/>
  <c r="K28" i="8"/>
  <c r="K5" i="3"/>
  <c r="M13" i="8"/>
  <c r="M24" i="7"/>
  <c r="M5" i="8" s="1"/>
  <c r="M23" i="7"/>
  <c r="M4" i="8" s="1"/>
  <c r="M25" i="7"/>
  <c r="M22" i="7"/>
  <c r="M6" i="8" l="1"/>
  <c r="M27" i="7"/>
  <c r="M8" i="8"/>
  <c r="L3" i="8"/>
  <c r="L9" i="8" s="1"/>
  <c r="K11" i="8"/>
  <c r="K27" i="8" s="1"/>
  <c r="K29" i="8" s="1"/>
  <c r="K32" i="8" s="1"/>
  <c r="K33" i="8" s="1"/>
  <c r="K10" i="8"/>
  <c r="M7" i="8"/>
  <c r="M3" i="8" s="1"/>
  <c r="M9" i="8" s="1"/>
  <c r="N26" i="7"/>
  <c r="L11" i="8"/>
  <c r="L27" i="8" s="1"/>
  <c r="L10" i="8"/>
  <c r="M16" i="8"/>
  <c r="M12" i="8" s="1"/>
  <c r="AK19" i="7"/>
  <c r="J34" i="8"/>
  <c r="K3" i="3" s="1"/>
  <c r="K7" i="3" s="1"/>
  <c r="L28" i="8"/>
  <c r="L5" i="3"/>
  <c r="N23" i="7"/>
  <c r="N4" i="8" s="1"/>
  <c r="N24" i="7"/>
  <c r="N5" i="8" s="1"/>
  <c r="N25" i="7"/>
  <c r="N22" i="7"/>
  <c r="N6" i="8" l="1"/>
  <c r="N27" i="7"/>
  <c r="N8" i="8" s="1"/>
  <c r="O26" i="7"/>
  <c r="N7" i="8"/>
  <c r="M11" i="8"/>
  <c r="M27" i="8" s="1"/>
  <c r="M10" i="8"/>
  <c r="N16" i="8"/>
  <c r="N12" i="8" s="1"/>
  <c r="AL19" i="7"/>
  <c r="K34" i="8"/>
  <c r="L3" i="3" s="1"/>
  <c r="L7" i="3" s="1"/>
  <c r="M28" i="8"/>
  <c r="M5" i="3"/>
  <c r="L29" i="8"/>
  <c r="L32" i="8" s="1"/>
  <c r="L33" i="8" s="1"/>
  <c r="O13" i="8"/>
  <c r="O24" i="7"/>
  <c r="O5" i="8" s="1"/>
  <c r="O23" i="7"/>
  <c r="O4" i="8" s="1"/>
  <c r="O25" i="7"/>
  <c r="O22" i="7"/>
  <c r="O5" i="3"/>
  <c r="O6" i="8" l="1"/>
  <c r="O27" i="7"/>
  <c r="O8" i="8" s="1"/>
  <c r="P26" i="7"/>
  <c r="O7" i="8"/>
  <c r="O16" i="8"/>
  <c r="O12" i="8" s="1"/>
  <c r="AM19" i="7"/>
  <c r="L34" i="8"/>
  <c r="M3" i="3" s="1"/>
  <c r="M7" i="3" s="1"/>
  <c r="M29" i="8"/>
  <c r="M32" i="8" s="1"/>
  <c r="M33" i="8" s="1"/>
  <c r="O28" i="8"/>
  <c r="P28" i="8" s="1"/>
  <c r="Q28" i="8" s="1"/>
  <c r="R28" i="8" s="1"/>
  <c r="S28" i="8" s="1"/>
  <c r="T28" i="8" s="1"/>
  <c r="U28" i="8" s="1"/>
  <c r="V28" i="8" s="1"/>
  <c r="W28" i="8" s="1"/>
  <c r="X28" i="8" s="1"/>
  <c r="Y28" i="8" s="1"/>
  <c r="AA28" i="8" s="1"/>
  <c r="AB28" i="8" s="1"/>
  <c r="AC28" i="8" s="1"/>
  <c r="AD28" i="8" s="1"/>
  <c r="AE28" i="8" s="1"/>
  <c r="AF28" i="8" s="1"/>
  <c r="AG28" i="8" s="1"/>
  <c r="AH28" i="8" s="1"/>
  <c r="AI28" i="8" s="1"/>
  <c r="AJ28" i="8" s="1"/>
  <c r="AK28" i="8" s="1"/>
  <c r="AL28" i="8" s="1"/>
  <c r="AM28" i="8" s="1"/>
  <c r="AN28" i="8" s="1"/>
  <c r="AO28" i="8" s="1"/>
  <c r="AP28" i="8" s="1"/>
  <c r="AQ28" i="8" s="1"/>
  <c r="AR28" i="8" s="1"/>
  <c r="AS28" i="8" s="1"/>
  <c r="AT28" i="8" s="1"/>
  <c r="AU28" i="8" s="1"/>
  <c r="AV28" i="8" s="1"/>
  <c r="AW28" i="8" s="1"/>
  <c r="AX28" i="8" s="1"/>
  <c r="AY28" i="8" s="1"/>
  <c r="AZ28" i="8" s="1"/>
  <c r="BA28" i="8" s="1"/>
  <c r="BB28" i="8" s="1"/>
  <c r="BC28" i="8" s="1"/>
  <c r="BD28" i="8" s="1"/>
  <c r="BE28" i="8" s="1"/>
  <c r="BF28" i="8" s="1"/>
  <c r="BG28" i="8" s="1"/>
  <c r="BH28" i="8" s="1"/>
  <c r="BI28" i="8" s="1"/>
  <c r="N5" i="3"/>
  <c r="N3" i="8"/>
  <c r="N9" i="8" s="1"/>
  <c r="P13" i="8"/>
  <c r="P23" i="7"/>
  <c r="P4" i="8" s="1"/>
  <c r="P24" i="7"/>
  <c r="P5" i="8" s="1"/>
  <c r="P25" i="7"/>
  <c r="P22" i="7"/>
  <c r="O3" i="8" l="1"/>
  <c r="O9" i="8" s="1"/>
  <c r="O11" i="8" s="1"/>
  <c r="O27" i="8" s="1"/>
  <c r="O29" i="8" s="1"/>
  <c r="O32" i="8" s="1"/>
  <c r="O33" i="8" s="1"/>
  <c r="P6" i="8"/>
  <c r="P27" i="7"/>
  <c r="P8" i="8" s="1"/>
  <c r="P7" i="8"/>
  <c r="Q26" i="7"/>
  <c r="O10" i="8"/>
  <c r="N11" i="8"/>
  <c r="N27" i="8" s="1"/>
  <c r="N29" i="8" s="1"/>
  <c r="N32" i="8" s="1"/>
  <c r="N33" i="8" s="1"/>
  <c r="N10" i="8"/>
  <c r="P16" i="8"/>
  <c r="P12" i="8" s="1"/>
  <c r="AN19" i="7"/>
  <c r="M34" i="8"/>
  <c r="N3" i="3" s="1"/>
  <c r="N7" i="3" s="1"/>
  <c r="P5" i="3"/>
  <c r="Q13" i="8"/>
  <c r="Q24" i="7"/>
  <c r="Q5" i="8" s="1"/>
  <c r="Q23" i="7"/>
  <c r="Q4" i="8" s="1"/>
  <c r="Q25" i="7"/>
  <c r="Q22" i="7"/>
  <c r="Q5" i="3"/>
  <c r="Q6" i="8" l="1"/>
  <c r="Q27" i="7"/>
  <c r="Q8" i="8" s="1"/>
  <c r="P3" i="8"/>
  <c r="P9" i="8" s="1"/>
  <c r="Q7" i="8"/>
  <c r="R26" i="7"/>
  <c r="Q16" i="8"/>
  <c r="Q12" i="8" s="1"/>
  <c r="P11" i="8"/>
  <c r="P27" i="8" s="1"/>
  <c r="P29" i="8" s="1"/>
  <c r="P32" i="8" s="1"/>
  <c r="P33" i="8" s="1"/>
  <c r="N34" i="8"/>
  <c r="O3" i="3" s="1"/>
  <c r="O7" i="3" s="1"/>
  <c r="AO19" i="7"/>
  <c r="R13" i="8"/>
  <c r="R24" i="7"/>
  <c r="R23" i="7"/>
  <c r="R4" i="8" s="1"/>
  <c r="R25" i="7"/>
  <c r="R22" i="7"/>
  <c r="R5" i="3"/>
  <c r="O34" i="8"/>
  <c r="P3" i="3" s="1"/>
  <c r="P7" i="3" s="1"/>
  <c r="R8" i="8" l="1"/>
  <c r="R6" i="8"/>
  <c r="R27" i="7"/>
  <c r="P10" i="8"/>
  <c r="S24" i="7"/>
  <c r="R5" i="8"/>
  <c r="R7" i="8"/>
  <c r="S26" i="7"/>
  <c r="AP19" i="7"/>
  <c r="S23" i="7"/>
  <c r="S4" i="8" s="1"/>
  <c r="R16" i="8"/>
  <c r="R12" i="8" s="1"/>
  <c r="Q3" i="8"/>
  <c r="Q9" i="8" s="1"/>
  <c r="S13" i="8"/>
  <c r="S25" i="7"/>
  <c r="S22" i="7"/>
  <c r="S5" i="3"/>
  <c r="P34" i="8"/>
  <c r="Q3" i="3" s="1"/>
  <c r="Q7" i="3" s="1"/>
  <c r="S8" i="8" l="1"/>
  <c r="S6" i="8"/>
  <c r="S27" i="7"/>
  <c r="R3" i="8"/>
  <c r="R9" i="8" s="1"/>
  <c r="S7" i="8"/>
  <c r="T26" i="7"/>
  <c r="T24" i="7"/>
  <c r="S5" i="8"/>
  <c r="Q11" i="8"/>
  <c r="Q27" i="8" s="1"/>
  <c r="Q29" i="8" s="1"/>
  <c r="Q32" i="8" s="1"/>
  <c r="Q33" i="8" s="1"/>
  <c r="Q10" i="8"/>
  <c r="T23" i="7"/>
  <c r="T4" i="8" s="1"/>
  <c r="S16" i="8"/>
  <c r="S12" i="8" s="1"/>
  <c r="AQ19" i="7"/>
  <c r="T13" i="8"/>
  <c r="T25" i="7"/>
  <c r="T22" i="7"/>
  <c r="T5" i="3"/>
  <c r="T8" i="8" l="1"/>
  <c r="T6" i="8"/>
  <c r="T27" i="7"/>
  <c r="S3" i="8"/>
  <c r="S9" i="8" s="1"/>
  <c r="R11" i="8"/>
  <c r="R27" i="8" s="1"/>
  <c r="R29" i="8" s="1"/>
  <c r="R32" i="8" s="1"/>
  <c r="R33" i="8" s="1"/>
  <c r="R10" i="8"/>
  <c r="T7" i="8"/>
  <c r="U26" i="7"/>
  <c r="U24" i="7"/>
  <c r="T5" i="8"/>
  <c r="AR19" i="7"/>
  <c r="U23" i="7"/>
  <c r="U4" i="8" s="1"/>
  <c r="T16" i="8"/>
  <c r="T12" i="8" s="1"/>
  <c r="Q34" i="8"/>
  <c r="R3" i="3" s="1"/>
  <c r="R7" i="3" s="1"/>
  <c r="U13" i="8"/>
  <c r="U25" i="7"/>
  <c r="U22" i="7"/>
  <c r="U5" i="3"/>
  <c r="U6" i="8" l="1"/>
  <c r="U27" i="7"/>
  <c r="U8" i="8" s="1"/>
  <c r="S10" i="8"/>
  <c r="S11" i="8"/>
  <c r="S27" i="8" s="1"/>
  <c r="S29" i="8" s="1"/>
  <c r="S32" i="8" s="1"/>
  <c r="S33" i="8" s="1"/>
  <c r="R34" i="8"/>
  <c r="S3" i="3" s="1"/>
  <c r="S7" i="3" s="1"/>
  <c r="V24" i="7"/>
  <c r="U5" i="8"/>
  <c r="U7" i="8"/>
  <c r="V26" i="7"/>
  <c r="AS19" i="7"/>
  <c r="V23" i="7"/>
  <c r="V4" i="8" s="1"/>
  <c r="U16" i="8"/>
  <c r="U12" i="8" s="1"/>
  <c r="T3" i="8"/>
  <c r="T9" i="8" s="1"/>
  <c r="V13" i="8"/>
  <c r="V25" i="7"/>
  <c r="Q11" i="3"/>
  <c r="Q13" i="3" s="1"/>
  <c r="V22" i="7"/>
  <c r="V5" i="3"/>
  <c r="V6" i="8" l="1"/>
  <c r="V27" i="7"/>
  <c r="V8" i="8"/>
  <c r="S34" i="8"/>
  <c r="T3" i="3" s="1"/>
  <c r="T7" i="3" s="1"/>
  <c r="U3" i="8"/>
  <c r="U9" i="8" s="1"/>
  <c r="V7" i="8"/>
  <c r="W26" i="7"/>
  <c r="W24" i="7"/>
  <c r="V5" i="8"/>
  <c r="T11" i="8"/>
  <c r="T27" i="8" s="1"/>
  <c r="T29" i="8" s="1"/>
  <c r="T32" i="8" s="1"/>
  <c r="T33" i="8" s="1"/>
  <c r="T10" i="8"/>
  <c r="W23" i="7"/>
  <c r="W4" i="8" s="1"/>
  <c r="V16" i="8"/>
  <c r="V12" i="8" s="1"/>
  <c r="AT19" i="7"/>
  <c r="W13" i="8"/>
  <c r="W25" i="7"/>
  <c r="R11" i="3"/>
  <c r="R13" i="3" s="1"/>
  <c r="W22" i="7"/>
  <c r="W5" i="3"/>
  <c r="W6" i="8" l="1"/>
  <c r="W27" i="7"/>
  <c r="W8" i="8"/>
  <c r="U11" i="8"/>
  <c r="U27" i="8" s="1"/>
  <c r="U29" i="8" s="1"/>
  <c r="U32" i="8" s="1"/>
  <c r="U33" i="8" s="1"/>
  <c r="V3" i="8"/>
  <c r="V9" i="8" s="1"/>
  <c r="U10" i="8"/>
  <c r="X24" i="7"/>
  <c r="W5" i="8"/>
  <c r="W7" i="8"/>
  <c r="X26" i="7"/>
  <c r="AU19" i="7"/>
  <c r="X23" i="7"/>
  <c r="X4" i="8" s="1"/>
  <c r="W16" i="8"/>
  <c r="W12" i="8" s="1"/>
  <c r="T34" i="8"/>
  <c r="U3" i="3" s="1"/>
  <c r="U7" i="3" s="1"/>
  <c r="X13" i="8"/>
  <c r="X25" i="7"/>
  <c r="S11" i="3"/>
  <c r="S13" i="3" s="1"/>
  <c r="X22" i="7"/>
  <c r="X5" i="3"/>
  <c r="X6" i="8" l="1"/>
  <c r="X27" i="7"/>
  <c r="X8" i="8"/>
  <c r="U34" i="8"/>
  <c r="V3" i="3" s="1"/>
  <c r="V7" i="3" s="1"/>
  <c r="V10" i="8"/>
  <c r="V11" i="8"/>
  <c r="V27" i="8" s="1"/>
  <c r="V29" i="8" s="1"/>
  <c r="V32" i="8" s="1"/>
  <c r="V33" i="8" s="1"/>
  <c r="W3" i="8"/>
  <c r="W9" i="8" s="1"/>
  <c r="X7" i="8"/>
  <c r="Y26" i="7"/>
  <c r="Y24" i="7"/>
  <c r="X5" i="8"/>
  <c r="Y23" i="7"/>
  <c r="Y4" i="8" s="1"/>
  <c r="X16" i="8"/>
  <c r="X12" i="8" s="1"/>
  <c r="AV19" i="7"/>
  <c r="Y13" i="8"/>
  <c r="Y25" i="7"/>
  <c r="T11" i="3"/>
  <c r="T13" i="3" s="1"/>
  <c r="Y22" i="7"/>
  <c r="Y5" i="3"/>
  <c r="Y6" i="8" l="1"/>
  <c r="Y27" i="7"/>
  <c r="Y8" i="8" s="1"/>
  <c r="V34" i="8"/>
  <c r="W3" i="3" s="1"/>
  <c r="W7" i="3" s="1"/>
  <c r="W11" i="8"/>
  <c r="W27" i="8" s="1"/>
  <c r="W29" i="8" s="1"/>
  <c r="W32" i="8" s="1"/>
  <c r="W33" i="8" s="1"/>
  <c r="X3" i="8"/>
  <c r="X9" i="8" s="1"/>
  <c r="W10" i="8"/>
  <c r="Y5" i="8"/>
  <c r="Y3" i="8" s="1"/>
  <c r="Y9" i="8" s="1"/>
  <c r="Z24" i="7"/>
  <c r="Z5" i="8" s="1"/>
  <c r="Y7" i="8"/>
  <c r="Z26" i="7"/>
  <c r="Z7" i="8" s="1"/>
  <c r="AW19" i="7"/>
  <c r="Z23" i="7"/>
  <c r="Z4" i="8" s="1"/>
  <c r="Y16" i="8"/>
  <c r="Y12" i="8" s="1"/>
  <c r="Z25" i="7"/>
  <c r="U11" i="3"/>
  <c r="U13" i="3" s="1"/>
  <c r="Z22" i="7"/>
  <c r="Z5" i="3"/>
  <c r="Z6" i="8" l="1"/>
  <c r="Z3" i="8" s="1"/>
  <c r="Z9" i="8" s="1"/>
  <c r="Z11" i="8" s="1"/>
  <c r="Z27" i="7"/>
  <c r="Z8" i="8" s="1"/>
  <c r="W34" i="8"/>
  <c r="X3" i="3" s="1"/>
  <c r="X7" i="3" s="1"/>
  <c r="X11" i="8"/>
  <c r="X27" i="8" s="1"/>
  <c r="X29" i="8" s="1"/>
  <c r="X32" i="8" s="1"/>
  <c r="X33" i="8" s="1"/>
  <c r="X10" i="8"/>
  <c r="AA26" i="7"/>
  <c r="AA7" i="8" s="1"/>
  <c r="AA24" i="7"/>
  <c r="AA5" i="8" s="1"/>
  <c r="AA23" i="7"/>
  <c r="AA4" i="8" s="1"/>
  <c r="Z16" i="8"/>
  <c r="Z12" i="8" s="1"/>
  <c r="AX19" i="7"/>
  <c r="AA13" i="8"/>
  <c r="AA25" i="7"/>
  <c r="V11" i="3"/>
  <c r="V13" i="3" s="1"/>
  <c r="AA22" i="7"/>
  <c r="AA5" i="3"/>
  <c r="AA6" i="8" l="1"/>
  <c r="AA27" i="7"/>
  <c r="AA8" i="8" s="1"/>
  <c r="AA3" i="8" s="1"/>
  <c r="AA9" i="8" s="1"/>
  <c r="AA11" i="8" s="1"/>
  <c r="Z10" i="8"/>
  <c r="X34" i="8"/>
  <c r="Y3" i="3" s="1"/>
  <c r="Y7" i="3" s="1"/>
  <c r="Y10" i="8"/>
  <c r="Y11" i="8"/>
  <c r="Y27" i="8" s="1"/>
  <c r="Y29" i="8" s="1"/>
  <c r="Y32" i="8" s="1"/>
  <c r="Y33" i="8" s="1"/>
  <c r="AB24" i="7"/>
  <c r="AB5" i="8" s="1"/>
  <c r="AB26" i="7"/>
  <c r="AB7" i="8" s="1"/>
  <c r="AB23" i="7"/>
  <c r="AB4" i="8" s="1"/>
  <c r="AA16" i="8"/>
  <c r="AA12" i="8" s="1"/>
  <c r="AY19" i="7"/>
  <c r="AB13" i="8"/>
  <c r="AB25" i="7"/>
  <c r="W11" i="3"/>
  <c r="W13" i="3" s="1"/>
  <c r="AB22" i="7"/>
  <c r="AB5" i="3"/>
  <c r="AA10" i="8" l="1"/>
  <c r="AB6" i="8"/>
  <c r="AB3" i="8" s="1"/>
  <c r="AB9" i="8" s="1"/>
  <c r="AB11" i="8" s="1"/>
  <c r="AB27" i="7"/>
  <c r="AB8" i="8" s="1"/>
  <c r="Z27" i="8"/>
  <c r="Z29" i="8" s="1"/>
  <c r="Z32" i="8" s="1"/>
  <c r="Z33" i="8" s="1"/>
  <c r="AC26" i="7"/>
  <c r="AC7" i="8" s="1"/>
  <c r="AC24" i="7"/>
  <c r="AC5" i="8" s="1"/>
  <c r="AZ19" i="7"/>
  <c r="AC23" i="7"/>
  <c r="AC4" i="8" s="1"/>
  <c r="AB16" i="8"/>
  <c r="AB12" i="8" s="1"/>
  <c r="Y34" i="8"/>
  <c r="Z3" i="3" s="1"/>
  <c r="Z7" i="3" s="1"/>
  <c r="AC13" i="8"/>
  <c r="AC25" i="7"/>
  <c r="X11" i="3"/>
  <c r="X13" i="3" s="1"/>
  <c r="AC22" i="7"/>
  <c r="AC5" i="3"/>
  <c r="AB10" i="8" l="1"/>
  <c r="AC6" i="8"/>
  <c r="AC27" i="7"/>
  <c r="AC8" i="8" s="1"/>
  <c r="AC3" i="8" s="1"/>
  <c r="AC9" i="8" s="1"/>
  <c r="AC11" i="8" s="1"/>
  <c r="AB27" i="8"/>
  <c r="AB29" i="8" s="1"/>
  <c r="AB32" i="8" s="1"/>
  <c r="AB33" i="8" s="1"/>
  <c r="AA27" i="8"/>
  <c r="AA29" i="8" s="1"/>
  <c r="AA32" i="8" s="1"/>
  <c r="AA33" i="8" s="1"/>
  <c r="Z34" i="8"/>
  <c r="AA3" i="3" s="1"/>
  <c r="AA7" i="3" s="1"/>
  <c r="AD24" i="7"/>
  <c r="AD5" i="8" s="1"/>
  <c r="AD26" i="7"/>
  <c r="AD7" i="8" s="1"/>
  <c r="AD23" i="7"/>
  <c r="AD4" i="8" s="1"/>
  <c r="AC16" i="8"/>
  <c r="AC12" i="8" s="1"/>
  <c r="BA19" i="7"/>
  <c r="AD13" i="8"/>
  <c r="AD25" i="7"/>
  <c r="Y11" i="3"/>
  <c r="Y13" i="3" s="1"/>
  <c r="AD22" i="7"/>
  <c r="AD5" i="3"/>
  <c r="AC10" i="8" l="1"/>
  <c r="AD6" i="8"/>
  <c r="AD3" i="8" s="1"/>
  <c r="AD9" i="8" s="1"/>
  <c r="AD11" i="8" s="1"/>
  <c r="AD27" i="7"/>
  <c r="AD8" i="8" s="1"/>
  <c r="AA34" i="8"/>
  <c r="AB3" i="3" s="1"/>
  <c r="AB7" i="3" s="1"/>
  <c r="AC27" i="8"/>
  <c r="AC29" i="8" s="1"/>
  <c r="AC32" i="8" s="1"/>
  <c r="AC33" i="8" s="1"/>
  <c r="AE26" i="7"/>
  <c r="AE7" i="8" s="1"/>
  <c r="AE24" i="7"/>
  <c r="AE5" i="8" s="1"/>
  <c r="BB19" i="7"/>
  <c r="AE23" i="7"/>
  <c r="AE4" i="8" s="1"/>
  <c r="AD16" i="8"/>
  <c r="AD12" i="8" s="1"/>
  <c r="AE13" i="8"/>
  <c r="AE25" i="7"/>
  <c r="Z11" i="3"/>
  <c r="Z13" i="3" s="1"/>
  <c r="AE22" i="7"/>
  <c r="AE5" i="3"/>
  <c r="AB34" i="8"/>
  <c r="AC3" i="3" s="1"/>
  <c r="AC7" i="3" s="1"/>
  <c r="AD10" i="8" l="1"/>
  <c r="AE6" i="8"/>
  <c r="AE27" i="7"/>
  <c r="AE8" i="8" s="1"/>
  <c r="AE3" i="8" s="1"/>
  <c r="AE9" i="8" s="1"/>
  <c r="AE11" i="8" s="1"/>
  <c r="AF24" i="7"/>
  <c r="AF5" i="8" s="1"/>
  <c r="AF26" i="7"/>
  <c r="AF7" i="8" s="1"/>
  <c r="AF23" i="7"/>
  <c r="AF4" i="8" s="1"/>
  <c r="AE16" i="8"/>
  <c r="AE12" i="8" s="1"/>
  <c r="AE10" i="8" s="1"/>
  <c r="BC19" i="7"/>
  <c r="AF13" i="8"/>
  <c r="AF25" i="7"/>
  <c r="AA11" i="3"/>
  <c r="AA13" i="3" s="1"/>
  <c r="AF22" i="7"/>
  <c r="AF5" i="3"/>
  <c r="AC34" i="8"/>
  <c r="AD3" i="3" s="1"/>
  <c r="AD7" i="3" s="1"/>
  <c r="AF3" i="8" l="1"/>
  <c r="AF9" i="8" s="1"/>
  <c r="AF11" i="8" s="1"/>
  <c r="AF6" i="8"/>
  <c r="AF27" i="7"/>
  <c r="AF8" i="8" s="1"/>
  <c r="AD27" i="8"/>
  <c r="AD29" i="8" s="1"/>
  <c r="AD32" i="8" s="1"/>
  <c r="AD33" i="8" s="1"/>
  <c r="AG26" i="7"/>
  <c r="AG7" i="8" s="1"/>
  <c r="AG24" i="7"/>
  <c r="AG5" i="8" s="1"/>
  <c r="BD19" i="7"/>
  <c r="AG23" i="7"/>
  <c r="AG4" i="8" s="1"/>
  <c r="AF16" i="8"/>
  <c r="AF12" i="8" s="1"/>
  <c r="AF10" i="8" s="1"/>
  <c r="AG13" i="8"/>
  <c r="AG25" i="7"/>
  <c r="AB11" i="3"/>
  <c r="AB13" i="3" s="1"/>
  <c r="AG22" i="7"/>
  <c r="AG5" i="3"/>
  <c r="AG6" i="8" l="1"/>
  <c r="AG3" i="8" s="1"/>
  <c r="AG9" i="8" s="1"/>
  <c r="AG11" i="8" s="1"/>
  <c r="AG27" i="7"/>
  <c r="AG8" i="8" s="1"/>
  <c r="AE27" i="8"/>
  <c r="AE29" i="8" s="1"/>
  <c r="AE32" i="8" s="1"/>
  <c r="AE33" i="8" s="1"/>
  <c r="AD34" i="8"/>
  <c r="AE3" i="3" s="1"/>
  <c r="AE7" i="3" s="1"/>
  <c r="AH24" i="7"/>
  <c r="AH5" i="8" s="1"/>
  <c r="AH26" i="7"/>
  <c r="AH7" i="8" s="1"/>
  <c r="AH23" i="7"/>
  <c r="AH4" i="8" s="1"/>
  <c r="AG16" i="8"/>
  <c r="AG12" i="8" s="1"/>
  <c r="BE19" i="7"/>
  <c r="AH13" i="8"/>
  <c r="AH25" i="7"/>
  <c r="AC11" i="3"/>
  <c r="AC13" i="3" s="1"/>
  <c r="AH22" i="7"/>
  <c r="AH5" i="3"/>
  <c r="AH6" i="8" l="1"/>
  <c r="AH27" i="7"/>
  <c r="AH8" i="8" s="1"/>
  <c r="AH3" i="8" s="1"/>
  <c r="AH9" i="8" s="1"/>
  <c r="AH11" i="8" s="1"/>
  <c r="AG10" i="8"/>
  <c r="AE34" i="8"/>
  <c r="AF3" i="3" s="1"/>
  <c r="AF7" i="3" s="1"/>
  <c r="AF27" i="8"/>
  <c r="AF29" i="8" s="1"/>
  <c r="AF32" i="8" s="1"/>
  <c r="AF33" i="8" s="1"/>
  <c r="AI26" i="7"/>
  <c r="AI7" i="8" s="1"/>
  <c r="AI24" i="7"/>
  <c r="AI5" i="8" s="1"/>
  <c r="BF19" i="7"/>
  <c r="AI23" i="7"/>
  <c r="AI4" i="8" s="1"/>
  <c r="AH16" i="8"/>
  <c r="AH12" i="8" s="1"/>
  <c r="AI13" i="8"/>
  <c r="AI25" i="7"/>
  <c r="AD11" i="3"/>
  <c r="AD13" i="3" s="1"/>
  <c r="AI22" i="7"/>
  <c r="AI5" i="3"/>
  <c r="AI6" i="8" l="1"/>
  <c r="AI3" i="8" s="1"/>
  <c r="AI27" i="7"/>
  <c r="AI8" i="8" s="1"/>
  <c r="AH10" i="8"/>
  <c r="AG27" i="8"/>
  <c r="AG29" i="8" s="1"/>
  <c r="AG32" i="8" s="1"/>
  <c r="AG33" i="8" s="1"/>
  <c r="AF34" i="8"/>
  <c r="AG3" i="3" s="1"/>
  <c r="AG7" i="3" s="1"/>
  <c r="AJ24" i="7"/>
  <c r="AJ5" i="8" s="1"/>
  <c r="AJ26" i="7"/>
  <c r="AJ7" i="8" s="1"/>
  <c r="AJ23" i="7"/>
  <c r="AJ4" i="8" s="1"/>
  <c r="AI16" i="8"/>
  <c r="AI12" i="8" s="1"/>
  <c r="BG19" i="7"/>
  <c r="AJ13" i="8"/>
  <c r="AJ25" i="7"/>
  <c r="AE11" i="3"/>
  <c r="AE13" i="3" s="1"/>
  <c r="AJ22" i="7"/>
  <c r="AJ5" i="3"/>
  <c r="AI9" i="8" l="1"/>
  <c r="AI11" i="8" s="1"/>
  <c r="AJ6" i="8"/>
  <c r="AJ3" i="8" s="1"/>
  <c r="AJ9" i="8" s="1"/>
  <c r="AJ11" i="8" s="1"/>
  <c r="AJ27" i="7"/>
  <c r="AJ8" i="8" s="1"/>
  <c r="AI10" i="8"/>
  <c r="AG34" i="8"/>
  <c r="AH3" i="3" s="1"/>
  <c r="AH7" i="3" s="1"/>
  <c r="AH27" i="8"/>
  <c r="AH29" i="8" s="1"/>
  <c r="AH32" i="8" s="1"/>
  <c r="AH33" i="8" s="1"/>
  <c r="AK26" i="7"/>
  <c r="AK24" i="7"/>
  <c r="BH19" i="7"/>
  <c r="AK23" i="7"/>
  <c r="AK4" i="8" s="1"/>
  <c r="AJ16" i="8"/>
  <c r="AJ12" i="8" s="1"/>
  <c r="AK13" i="8"/>
  <c r="AK25" i="7"/>
  <c r="AF11" i="3"/>
  <c r="AF13" i="3" s="1"/>
  <c r="AK22" i="7"/>
  <c r="AK5" i="3"/>
  <c r="AK6" i="8" l="1"/>
  <c r="AK27" i="7"/>
  <c r="AK8" i="8" s="1"/>
  <c r="AK3" i="8" s="1"/>
  <c r="AK9" i="8" s="1"/>
  <c r="AJ10" i="8"/>
  <c r="AI27" i="8"/>
  <c r="AI29" i="8" s="1"/>
  <c r="AI32" i="8" s="1"/>
  <c r="AH34" i="8"/>
  <c r="AI3" i="3" s="1"/>
  <c r="AI7" i="3" s="1"/>
  <c r="AK5" i="8"/>
  <c r="AL24" i="7"/>
  <c r="AL5" i="8" s="1"/>
  <c r="AK7" i="8"/>
  <c r="AL26" i="7"/>
  <c r="AL7" i="8" s="1"/>
  <c r="BI19" i="7"/>
  <c r="AL23" i="7"/>
  <c r="AL4" i="8" s="1"/>
  <c r="AK16" i="8"/>
  <c r="AK12" i="8" s="1"/>
  <c r="AL13" i="8"/>
  <c r="AL25" i="7"/>
  <c r="AG11" i="3"/>
  <c r="AG13" i="3" s="1"/>
  <c r="AL22" i="7"/>
  <c r="AL5" i="3"/>
  <c r="AL6" i="8" l="1"/>
  <c r="AL27" i="7"/>
  <c r="AL8" i="8" s="1"/>
  <c r="AL3" i="8"/>
  <c r="AL9" i="8" s="1"/>
  <c r="AL11" i="8" s="1"/>
  <c r="AI33" i="8"/>
  <c r="AI34" i="8" s="1"/>
  <c r="AJ3" i="3" s="1"/>
  <c r="AJ7" i="3" s="1"/>
  <c r="AJ27" i="8"/>
  <c r="AJ29" i="8" s="1"/>
  <c r="AJ32" i="8" s="1"/>
  <c r="AM26" i="7"/>
  <c r="AM7" i="8" s="1"/>
  <c r="AM24" i="7"/>
  <c r="AM5" i="8" s="1"/>
  <c r="AM23" i="7"/>
  <c r="AM4" i="8" s="1"/>
  <c r="AL16" i="8"/>
  <c r="AL12" i="8" s="1"/>
  <c r="AM13" i="8"/>
  <c r="AM25" i="7"/>
  <c r="AH11" i="3"/>
  <c r="AH13" i="3" s="1"/>
  <c r="AM22" i="7"/>
  <c r="AM5" i="3"/>
  <c r="AM6" i="8" l="1"/>
  <c r="AM3" i="8" s="1"/>
  <c r="AM9" i="8" s="1"/>
  <c r="AM11" i="8" s="1"/>
  <c r="AM27" i="7"/>
  <c r="AM8" i="8" s="1"/>
  <c r="AL10" i="8"/>
  <c r="AJ33" i="8"/>
  <c r="AJ34" i="8" s="1"/>
  <c r="AK3" i="3" s="1"/>
  <c r="AK7" i="3" s="1"/>
  <c r="AK10" i="8"/>
  <c r="AK11" i="8"/>
  <c r="AK27" i="8" s="1"/>
  <c r="AK29" i="8" s="1"/>
  <c r="AK32" i="8" s="1"/>
  <c r="AK33" i="8" s="1"/>
  <c r="AN24" i="7"/>
  <c r="AN5" i="8" s="1"/>
  <c r="AN26" i="7"/>
  <c r="AN7" i="8" s="1"/>
  <c r="AN23" i="7"/>
  <c r="AN4" i="8" s="1"/>
  <c r="AM16" i="8"/>
  <c r="AM12" i="8" s="1"/>
  <c r="AN13" i="8"/>
  <c r="AN25" i="7"/>
  <c r="AI11" i="3"/>
  <c r="AI13" i="3" s="1"/>
  <c r="AN22" i="7"/>
  <c r="AN5" i="3"/>
  <c r="AM10" i="8" l="1"/>
  <c r="AN6" i="8"/>
  <c r="AN3" i="8" s="1"/>
  <c r="AN9" i="8" s="1"/>
  <c r="AN11" i="8" s="1"/>
  <c r="AN27" i="7"/>
  <c r="AN8" i="8" s="1"/>
  <c r="AK34" i="8"/>
  <c r="AL3" i="3" s="1"/>
  <c r="AL7" i="3" s="1"/>
  <c r="AL27" i="8"/>
  <c r="AL29" i="8" s="1"/>
  <c r="AL32" i="8" s="1"/>
  <c r="AO26" i="7"/>
  <c r="AO7" i="8" s="1"/>
  <c r="AO24" i="7"/>
  <c r="AO5" i="8" s="1"/>
  <c r="AO23" i="7"/>
  <c r="AO4" i="8" s="1"/>
  <c r="AN16" i="8"/>
  <c r="AN12" i="8" s="1"/>
  <c r="AO13" i="8"/>
  <c r="AO25" i="7"/>
  <c r="AJ11" i="3"/>
  <c r="AJ13" i="3" s="1"/>
  <c r="AO22" i="7"/>
  <c r="AO5" i="3"/>
  <c r="AO6" i="8" l="1"/>
  <c r="AO27" i="7"/>
  <c r="AO8" i="8" s="1"/>
  <c r="AN10" i="8"/>
  <c r="AO3" i="8"/>
  <c r="AO9" i="8" s="1"/>
  <c r="AO11" i="8" s="1"/>
  <c r="AL33" i="8"/>
  <c r="AL34" i="8" s="1"/>
  <c r="AM3" i="3" s="1"/>
  <c r="AM7" i="3" s="1"/>
  <c r="AM27" i="8"/>
  <c r="AM29" i="8" s="1"/>
  <c r="AM32" i="8" s="1"/>
  <c r="AM33" i="8" s="1"/>
  <c r="AP26" i="7"/>
  <c r="AP7" i="8" s="1"/>
  <c r="AP24" i="7"/>
  <c r="AP5" i="8" s="1"/>
  <c r="AP23" i="7"/>
  <c r="AP4" i="8" s="1"/>
  <c r="AO16" i="8"/>
  <c r="AO12" i="8" s="1"/>
  <c r="AO10" i="8" s="1"/>
  <c r="AP13" i="8"/>
  <c r="AP25" i="7"/>
  <c r="AK11" i="3"/>
  <c r="AK13" i="3" s="1"/>
  <c r="AP22" i="7"/>
  <c r="AP5" i="3"/>
  <c r="AP6" i="8" l="1"/>
  <c r="AP27" i="7"/>
  <c r="AP8" i="8" s="1"/>
  <c r="AP3" i="8" s="1"/>
  <c r="AP9" i="8" s="1"/>
  <c r="AP11" i="8" s="1"/>
  <c r="AM34" i="8"/>
  <c r="AN3" i="3" s="1"/>
  <c r="AN7" i="3" s="1"/>
  <c r="AN27" i="8"/>
  <c r="AN29" i="8" s="1"/>
  <c r="AN32" i="8" s="1"/>
  <c r="AN33" i="8" s="1"/>
  <c r="AQ24" i="7"/>
  <c r="AQ5" i="8" s="1"/>
  <c r="AQ26" i="7"/>
  <c r="AQ7" i="8" s="1"/>
  <c r="AQ23" i="7"/>
  <c r="AQ4" i="8" s="1"/>
  <c r="AP16" i="8"/>
  <c r="AP12" i="8" s="1"/>
  <c r="AQ13" i="8"/>
  <c r="AQ25" i="7"/>
  <c r="AL11" i="3"/>
  <c r="AL13" i="3" s="1"/>
  <c r="AQ22" i="7"/>
  <c r="AQ5" i="3"/>
  <c r="AQ6" i="8" l="1"/>
  <c r="AQ3" i="8" s="1"/>
  <c r="AQ9" i="8" s="1"/>
  <c r="AQ11" i="8" s="1"/>
  <c r="AQ27" i="7"/>
  <c r="AQ8" i="8" s="1"/>
  <c r="AP10" i="8"/>
  <c r="AN34" i="8"/>
  <c r="AO3" i="3" s="1"/>
  <c r="AO7" i="3" s="1"/>
  <c r="AO27" i="8"/>
  <c r="AO29" i="8" s="1"/>
  <c r="AO32" i="8" s="1"/>
  <c r="AO33" i="8" s="1"/>
  <c r="AR26" i="7"/>
  <c r="AR7" i="8" s="1"/>
  <c r="AR24" i="7"/>
  <c r="AR5" i="8" s="1"/>
  <c r="AR23" i="7"/>
  <c r="AR4" i="8" s="1"/>
  <c r="AQ16" i="8"/>
  <c r="AQ12" i="8" s="1"/>
  <c r="AQ10" i="8" s="1"/>
  <c r="AR13" i="8"/>
  <c r="AR25" i="7"/>
  <c r="AM11" i="3"/>
  <c r="AM13" i="3" s="1"/>
  <c r="AR22" i="7"/>
  <c r="AR5" i="3"/>
  <c r="AR6" i="8" l="1"/>
  <c r="AR27" i="7"/>
  <c r="AR8" i="8" s="1"/>
  <c r="AR3" i="8" s="1"/>
  <c r="AQ27" i="8"/>
  <c r="AQ29" i="8" s="1"/>
  <c r="AQ32" i="8" s="1"/>
  <c r="AQ33" i="8" s="1"/>
  <c r="AO34" i="8"/>
  <c r="AP3" i="3" s="1"/>
  <c r="AP7" i="3" s="1"/>
  <c r="AP27" i="8"/>
  <c r="AP29" i="8" s="1"/>
  <c r="AP32" i="8" s="1"/>
  <c r="AP33" i="8" s="1"/>
  <c r="AS24" i="7"/>
  <c r="AS5" i="8" s="1"/>
  <c r="AS26" i="7"/>
  <c r="AS7" i="8" s="1"/>
  <c r="AS23" i="7"/>
  <c r="AS4" i="8" s="1"/>
  <c r="AR16" i="8"/>
  <c r="AR12" i="8" s="1"/>
  <c r="AS13" i="8"/>
  <c r="AS25" i="7"/>
  <c r="AN11" i="3"/>
  <c r="AN13" i="3" s="1"/>
  <c r="AS22" i="7"/>
  <c r="AS5" i="3"/>
  <c r="AR9" i="8" l="1"/>
  <c r="AR11" i="8" s="1"/>
  <c r="AS6" i="8"/>
  <c r="AS27" i="7"/>
  <c r="AS8" i="8" s="1"/>
  <c r="AS3" i="8" s="1"/>
  <c r="AR10" i="8"/>
  <c r="AP34" i="8"/>
  <c r="AQ3" i="3" s="1"/>
  <c r="AQ7" i="3" s="1"/>
  <c r="AT26" i="7"/>
  <c r="AT7" i="8" s="1"/>
  <c r="AT24" i="7"/>
  <c r="AT5" i="8" s="1"/>
  <c r="AT23" i="7"/>
  <c r="AT4" i="8" s="1"/>
  <c r="AS16" i="8"/>
  <c r="AS12" i="8" s="1"/>
  <c r="AT25" i="7"/>
  <c r="AT13" i="8"/>
  <c r="AO11" i="3"/>
  <c r="AO13" i="3" s="1"/>
  <c r="AT22" i="7"/>
  <c r="AT5" i="3"/>
  <c r="AQ34" i="8"/>
  <c r="AR3" i="3" s="1"/>
  <c r="AR7" i="3" s="1"/>
  <c r="AS9" i="8" l="1"/>
  <c r="AS11" i="8" s="1"/>
  <c r="AS10" i="8"/>
  <c r="AT3" i="8"/>
  <c r="AT9" i="8" s="1"/>
  <c r="AT11" i="8" s="1"/>
  <c r="AT6" i="8"/>
  <c r="AT27" i="7"/>
  <c r="AT8" i="8" s="1"/>
  <c r="AR27" i="8"/>
  <c r="AR29" i="8" s="1"/>
  <c r="AR32" i="8" s="1"/>
  <c r="AR33" i="8" s="1"/>
  <c r="AU26" i="7"/>
  <c r="AU7" i="8" s="1"/>
  <c r="AU24" i="7"/>
  <c r="AU5" i="8" s="1"/>
  <c r="AU25" i="7"/>
  <c r="AU23" i="7"/>
  <c r="AU4" i="8" s="1"/>
  <c r="AT16" i="8"/>
  <c r="AT12" i="8" s="1"/>
  <c r="AT10" i="8" s="1"/>
  <c r="AU13" i="8"/>
  <c r="AP11" i="3"/>
  <c r="AP13" i="3" s="1"/>
  <c r="AU22" i="7"/>
  <c r="AU5" i="3"/>
  <c r="AU6" i="8" l="1"/>
  <c r="AU3" i="8" s="1"/>
  <c r="AU9" i="8" s="1"/>
  <c r="AU11" i="8" s="1"/>
  <c r="AU27" i="7"/>
  <c r="AU8" i="8" s="1"/>
  <c r="AS27" i="8"/>
  <c r="AS29" i="8" s="1"/>
  <c r="AS32" i="8" s="1"/>
  <c r="AR34" i="8"/>
  <c r="AS3" i="3" s="1"/>
  <c r="AS7" i="3" s="1"/>
  <c r="AV26" i="7"/>
  <c r="AV7" i="8" s="1"/>
  <c r="AV24" i="7"/>
  <c r="AV5" i="8" s="1"/>
  <c r="AV25" i="7"/>
  <c r="AV23" i="7"/>
  <c r="AV4" i="8" s="1"/>
  <c r="AU16" i="8"/>
  <c r="AU12" i="8" s="1"/>
  <c r="AV13" i="8"/>
  <c r="AQ11" i="3"/>
  <c r="AQ13" i="3" s="1"/>
  <c r="AV22" i="7"/>
  <c r="AV5" i="3"/>
  <c r="AV6" i="8" l="1"/>
  <c r="AV27" i="7"/>
  <c r="AV8" i="8" s="1"/>
  <c r="AU10" i="8"/>
  <c r="AV3" i="8"/>
  <c r="AV9" i="8" s="1"/>
  <c r="AV11" i="8" s="1"/>
  <c r="AS33" i="8"/>
  <c r="AS34" i="8" s="1"/>
  <c r="AT3" i="3" s="1"/>
  <c r="AT7" i="3" s="1"/>
  <c r="AT27" i="8"/>
  <c r="AT29" i="8" s="1"/>
  <c r="AT32" i="8" s="1"/>
  <c r="AT33" i="8" s="1"/>
  <c r="AW24" i="7"/>
  <c r="AW26" i="7"/>
  <c r="AW25" i="7"/>
  <c r="AW23" i="7"/>
  <c r="AW4" i="8" s="1"/>
  <c r="AV16" i="8"/>
  <c r="AV12" i="8" s="1"/>
  <c r="AW13" i="8"/>
  <c r="AR11" i="3"/>
  <c r="AR13" i="3" s="1"/>
  <c r="AW22" i="7"/>
  <c r="AW5" i="3"/>
  <c r="AV10" i="8" l="1"/>
  <c r="AW6" i="8"/>
  <c r="AW27" i="7"/>
  <c r="AW8" i="8" s="1"/>
  <c r="AT34" i="8"/>
  <c r="AU3" i="3" s="1"/>
  <c r="AU7" i="3" s="1"/>
  <c r="AU27" i="8"/>
  <c r="AU29" i="8" s="1"/>
  <c r="AU32" i="8" s="1"/>
  <c r="AU33" i="8" s="1"/>
  <c r="AW7" i="8"/>
  <c r="AX26" i="7"/>
  <c r="AX7" i="8" s="1"/>
  <c r="AW5" i="8"/>
  <c r="AW3" i="8" s="1"/>
  <c r="AW9" i="8" s="1"/>
  <c r="AX24" i="7"/>
  <c r="AX5" i="8" s="1"/>
  <c r="AX25" i="7"/>
  <c r="AX23" i="7"/>
  <c r="AX4" i="8" s="1"/>
  <c r="AW16" i="8"/>
  <c r="AW12" i="8" s="1"/>
  <c r="AX13" i="8"/>
  <c r="AS11" i="3"/>
  <c r="AS13" i="3" s="1"/>
  <c r="AX22" i="7"/>
  <c r="AX5" i="3"/>
  <c r="AX6" i="8" l="1"/>
  <c r="AX27" i="7"/>
  <c r="AX8" i="8" s="1"/>
  <c r="AX3" i="8" s="1"/>
  <c r="AU34" i="8"/>
  <c r="AV3" i="3" s="1"/>
  <c r="AV7" i="3" s="1"/>
  <c r="AV27" i="8"/>
  <c r="AV29" i="8" s="1"/>
  <c r="AV32" i="8" s="1"/>
  <c r="AV33" i="8" s="1"/>
  <c r="AY24" i="7"/>
  <c r="AY5" i="8" s="1"/>
  <c r="AY26" i="7"/>
  <c r="AY7" i="8" s="1"/>
  <c r="AY25" i="7"/>
  <c r="AY23" i="7"/>
  <c r="AY4" i="8" s="1"/>
  <c r="AX16" i="8"/>
  <c r="AX12" i="8" s="1"/>
  <c r="AY13" i="8"/>
  <c r="AT11" i="3"/>
  <c r="AT13" i="3" s="1"/>
  <c r="AY22" i="7"/>
  <c r="AY5" i="3"/>
  <c r="AX9" i="8" l="1"/>
  <c r="AX11" i="8" s="1"/>
  <c r="AY6" i="8"/>
  <c r="AY27" i="7"/>
  <c r="AY8" i="8" s="1"/>
  <c r="AY3" i="8" s="1"/>
  <c r="AY9" i="8" s="1"/>
  <c r="AY11" i="8" s="1"/>
  <c r="AX10" i="8"/>
  <c r="AW10" i="8"/>
  <c r="AW11" i="8"/>
  <c r="AW27" i="8" s="1"/>
  <c r="AW29" i="8" s="1"/>
  <c r="AW32" i="8" s="1"/>
  <c r="AW33" i="8" s="1"/>
  <c r="AV34" i="8"/>
  <c r="AW3" i="3" s="1"/>
  <c r="AW7" i="3" s="1"/>
  <c r="AZ25" i="7"/>
  <c r="AZ26" i="7"/>
  <c r="AZ7" i="8" s="1"/>
  <c r="AZ24" i="7"/>
  <c r="AZ5" i="8" s="1"/>
  <c r="AZ23" i="7"/>
  <c r="AZ4" i="8" s="1"/>
  <c r="AY16" i="8"/>
  <c r="AY12" i="8" s="1"/>
  <c r="AZ13" i="8"/>
  <c r="AU11" i="3"/>
  <c r="AU13" i="3" s="1"/>
  <c r="BA25" i="7"/>
  <c r="AZ22" i="7"/>
  <c r="AZ5" i="3"/>
  <c r="AY10" i="8" l="1"/>
  <c r="AZ6" i="8"/>
  <c r="AZ27" i="7"/>
  <c r="AZ8" i="8" s="1"/>
  <c r="AZ3" i="8" s="1"/>
  <c r="AZ9" i="8" s="1"/>
  <c r="AZ11" i="8" s="1"/>
  <c r="BA6" i="8"/>
  <c r="AW34" i="8"/>
  <c r="AX3" i="3" s="1"/>
  <c r="AX7" i="3" s="1"/>
  <c r="AX27" i="8"/>
  <c r="AX29" i="8" s="1"/>
  <c r="AX32" i="8" s="1"/>
  <c r="AX33" i="8" s="1"/>
  <c r="BA24" i="7"/>
  <c r="BA5" i="8" s="1"/>
  <c r="BA26" i="7"/>
  <c r="BA7" i="8" s="1"/>
  <c r="BA23" i="7"/>
  <c r="BA4" i="8" s="1"/>
  <c r="AZ16" i="8"/>
  <c r="AZ12" i="8" s="1"/>
  <c r="BA13" i="8"/>
  <c r="AV11" i="3"/>
  <c r="AV13" i="3" s="1"/>
  <c r="BB25" i="7"/>
  <c r="BA22" i="7"/>
  <c r="BA5" i="3"/>
  <c r="BB6" i="8" l="1"/>
  <c r="AZ10" i="8"/>
  <c r="BA3" i="8"/>
  <c r="BA27" i="7"/>
  <c r="BA8" i="8" s="1"/>
  <c r="AX34" i="8"/>
  <c r="AY3" i="3" s="1"/>
  <c r="AY7" i="3" s="1"/>
  <c r="AY27" i="8"/>
  <c r="AY29" i="8" s="1"/>
  <c r="AY32" i="8" s="1"/>
  <c r="AY33" i="8" s="1"/>
  <c r="BB26" i="7"/>
  <c r="BB7" i="8" s="1"/>
  <c r="BB24" i="7"/>
  <c r="BB5" i="8" s="1"/>
  <c r="BB23" i="7"/>
  <c r="BB4" i="8" s="1"/>
  <c r="BA16" i="8"/>
  <c r="BA12" i="8" s="1"/>
  <c r="BB13" i="8"/>
  <c r="AW11" i="3"/>
  <c r="AW13" i="3" s="1"/>
  <c r="BC25" i="7"/>
  <c r="BB22" i="7"/>
  <c r="BB5" i="3"/>
  <c r="BA10" i="8" l="1"/>
  <c r="BB27" i="7"/>
  <c r="BB8" i="8" s="1"/>
  <c r="BB3" i="8" s="1"/>
  <c r="BB9" i="8" s="1"/>
  <c r="BB11" i="8" s="1"/>
  <c r="BA9" i="8"/>
  <c r="BA11" i="8" s="1"/>
  <c r="BA27" i="8" s="1"/>
  <c r="BA29" i="8" s="1"/>
  <c r="BA32" i="8" s="1"/>
  <c r="BA33" i="8" s="1"/>
  <c r="BC6" i="8"/>
  <c r="AY34" i="8"/>
  <c r="AZ3" i="3" s="1"/>
  <c r="AZ7" i="3" s="1"/>
  <c r="BC24" i="7"/>
  <c r="BC5" i="8" s="1"/>
  <c r="BC26" i="7"/>
  <c r="BC7" i="8" s="1"/>
  <c r="AZ27" i="8"/>
  <c r="AZ29" i="8" s="1"/>
  <c r="AZ32" i="8" s="1"/>
  <c r="AZ33" i="8" s="1"/>
  <c r="BC23" i="7"/>
  <c r="BC4" i="8" s="1"/>
  <c r="BB16" i="8"/>
  <c r="BB12" i="8" s="1"/>
  <c r="BC13" i="8"/>
  <c r="AX11" i="3"/>
  <c r="AX13" i="3" s="1"/>
  <c r="BD25" i="7"/>
  <c r="BC22" i="7"/>
  <c r="BC5" i="3"/>
  <c r="BC27" i="7" l="1"/>
  <c r="BC8" i="8" s="1"/>
  <c r="BB10" i="8"/>
  <c r="BD6" i="8"/>
  <c r="BC3" i="8"/>
  <c r="BB27" i="8"/>
  <c r="BB29" i="8" s="1"/>
  <c r="BB32" i="8" s="1"/>
  <c r="BB33" i="8" s="1"/>
  <c r="BD26" i="7"/>
  <c r="BD7" i="8" s="1"/>
  <c r="BD24" i="7"/>
  <c r="BD5" i="8" s="1"/>
  <c r="AZ34" i="8"/>
  <c r="BA3" i="3" s="1"/>
  <c r="BA7" i="3" s="1"/>
  <c r="BD23" i="7"/>
  <c r="BD4" i="8" s="1"/>
  <c r="BC16" i="8"/>
  <c r="BC12" i="8" s="1"/>
  <c r="BC10" i="8" s="1"/>
  <c r="BD13" i="8"/>
  <c r="AY11" i="3"/>
  <c r="AY13" i="3" s="1"/>
  <c r="BE25" i="7"/>
  <c r="BD22" i="7"/>
  <c r="BD5" i="3"/>
  <c r="BA34" i="8"/>
  <c r="BB3" i="3" s="1"/>
  <c r="BB7" i="3" s="1"/>
  <c r="BE6" i="8" l="1"/>
  <c r="BD27" i="7"/>
  <c r="BD8" i="8" s="1"/>
  <c r="BD3" i="8" s="1"/>
  <c r="BD9" i="8" s="1"/>
  <c r="BD11" i="8" s="1"/>
  <c r="BC9" i="8"/>
  <c r="BC11" i="8" s="1"/>
  <c r="BE24" i="7"/>
  <c r="BE5" i="8" s="1"/>
  <c r="BE26" i="7"/>
  <c r="BE7" i="8" s="1"/>
  <c r="BE23" i="7"/>
  <c r="BE4" i="8" s="1"/>
  <c r="BD16" i="8"/>
  <c r="BD12" i="8" s="1"/>
  <c r="BD10" i="8" s="1"/>
  <c r="BE13" i="8"/>
  <c r="AZ11" i="3"/>
  <c r="AZ13" i="3" s="1"/>
  <c r="BF25" i="7"/>
  <c r="BE22" i="7"/>
  <c r="BE5" i="3"/>
  <c r="BB34" i="8"/>
  <c r="BC3" i="3" s="1"/>
  <c r="BC7" i="3" s="1"/>
  <c r="BF6" i="8" l="1"/>
  <c r="BF27" i="7"/>
  <c r="BF8" i="8" s="1"/>
  <c r="BE27" i="7"/>
  <c r="BE8" i="8" s="1"/>
  <c r="BE3" i="8"/>
  <c r="BF26" i="7"/>
  <c r="BF7" i="8" s="1"/>
  <c r="BF24" i="7"/>
  <c r="BF5" i="8" s="1"/>
  <c r="BF3" i="8" s="1"/>
  <c r="BF9" i="8" s="1"/>
  <c r="BF11" i="8" s="1"/>
  <c r="BC27" i="8"/>
  <c r="BC29" i="8" s="1"/>
  <c r="BC32" i="8" s="1"/>
  <c r="BC33" i="8" s="1"/>
  <c r="BD27" i="8"/>
  <c r="BD29" i="8" s="1"/>
  <c r="BD32" i="8" s="1"/>
  <c r="BD33" i="8" s="1"/>
  <c r="BF23" i="7"/>
  <c r="BF4" i="8" s="1"/>
  <c r="BE16" i="8"/>
  <c r="BE12" i="8" s="1"/>
  <c r="BF13" i="8"/>
  <c r="BA11" i="3"/>
  <c r="BA13" i="3" s="1"/>
  <c r="BG25" i="7"/>
  <c r="BF22" i="7"/>
  <c r="BF5" i="3"/>
  <c r="BE9" i="8" l="1"/>
  <c r="BE11" i="8" s="1"/>
  <c r="BE27" i="8" s="1"/>
  <c r="BE29" i="8" s="1"/>
  <c r="BE32" i="8" s="1"/>
  <c r="BE33" i="8" s="1"/>
  <c r="BE10" i="8"/>
  <c r="BG6" i="8"/>
  <c r="BG24" i="7"/>
  <c r="BG5" i="8" s="1"/>
  <c r="BG26" i="7"/>
  <c r="BG7" i="8" s="1"/>
  <c r="BC34" i="8"/>
  <c r="BD3" i="3" s="1"/>
  <c r="BD7" i="3" s="1"/>
  <c r="BG23" i="7"/>
  <c r="BG4" i="8" s="1"/>
  <c r="BF16" i="8"/>
  <c r="BF12" i="8" s="1"/>
  <c r="BF10" i="8" s="1"/>
  <c r="BG13" i="8"/>
  <c r="BB11" i="3"/>
  <c r="BB13" i="3" s="1"/>
  <c r="BH25" i="7"/>
  <c r="BG22" i="7"/>
  <c r="BG5" i="3"/>
  <c r="BD34" i="8"/>
  <c r="BE3" i="3" s="1"/>
  <c r="BE7" i="3" s="1"/>
  <c r="BH6" i="8" l="1"/>
  <c r="BG27" i="7"/>
  <c r="BG8" i="8" s="1"/>
  <c r="BG3" i="8" s="1"/>
  <c r="BG9" i="8" s="1"/>
  <c r="BG11" i="8" s="1"/>
  <c r="BH26" i="7"/>
  <c r="BH7" i="8" s="1"/>
  <c r="BH24" i="7"/>
  <c r="BH5" i="8" s="1"/>
  <c r="BH23" i="7"/>
  <c r="BH4" i="8" s="1"/>
  <c r="BG16" i="8"/>
  <c r="BG12" i="8" s="1"/>
  <c r="BH13" i="8"/>
  <c r="BC11" i="3"/>
  <c r="BC13" i="3" s="1"/>
  <c r="BH22" i="7"/>
  <c r="BH5" i="3"/>
  <c r="BE34" i="8"/>
  <c r="BF3" i="3" s="1"/>
  <c r="BF7" i="3" s="1"/>
  <c r="BG10" i="8" l="1"/>
  <c r="BH27" i="7"/>
  <c r="BH8" i="8" s="1"/>
  <c r="BH3" i="8" s="1"/>
  <c r="BH9" i="8" s="1"/>
  <c r="BH11" i="8" s="1"/>
  <c r="BF27" i="8"/>
  <c r="BF29" i="8" s="1"/>
  <c r="BF32" i="8" s="1"/>
  <c r="BF33" i="8" s="1"/>
  <c r="BI26" i="7"/>
  <c r="BI24" i="7"/>
  <c r="BI5" i="8" s="1"/>
  <c r="BI23" i="7"/>
  <c r="BI4" i="8" s="1"/>
  <c r="BH16" i="8"/>
  <c r="BH12" i="8" s="1"/>
  <c r="BI13" i="8"/>
  <c r="BI25" i="7"/>
  <c r="BD11" i="3"/>
  <c r="BD13" i="3" s="1"/>
  <c r="BI22" i="7"/>
  <c r="BJ5" i="3"/>
  <c r="BI5" i="3"/>
  <c r="BH10" i="8" l="1"/>
  <c r="BI6" i="8"/>
  <c r="BI3" i="8" s="1"/>
  <c r="H4" i="7"/>
  <c r="BI27" i="7"/>
  <c r="BI8" i="8" s="1"/>
  <c r="BI7" i="8"/>
  <c r="H5" i="7"/>
  <c r="H3" i="7"/>
  <c r="H6" i="7" s="1"/>
  <c r="BH27" i="8"/>
  <c r="BH29" i="8" s="1"/>
  <c r="BH32" i="8" s="1"/>
  <c r="BH33" i="8" s="1"/>
  <c r="BF34" i="8"/>
  <c r="BG3" i="3" s="1"/>
  <c r="BG7" i="3" s="1"/>
  <c r="BG27" i="8"/>
  <c r="BG29" i="8" s="1"/>
  <c r="BG32" i="8" s="1"/>
  <c r="BG33" i="8" s="1"/>
  <c r="BI16" i="8"/>
  <c r="BI12" i="8" s="1"/>
  <c r="BE11" i="3"/>
  <c r="BE13" i="3" s="1"/>
  <c r="BI9" i="8" l="1"/>
  <c r="BI11" i="8" s="1"/>
  <c r="BI10" i="8"/>
  <c r="BG34" i="8"/>
  <c r="BH3" i="3" s="1"/>
  <c r="BH7" i="3" s="1"/>
  <c r="BF11" i="3"/>
  <c r="BF13" i="3" s="1"/>
  <c r="BH34" i="8"/>
  <c r="BI3" i="3" s="1"/>
  <c r="BI7" i="3" s="1"/>
  <c r="BI27" i="8" l="1"/>
  <c r="BI29" i="8" s="1"/>
  <c r="BI32" i="8" s="1"/>
  <c r="BI33" i="8" s="1"/>
  <c r="BG11" i="3"/>
  <c r="BG13" i="3" s="1"/>
  <c r="BI34" i="8" l="1"/>
  <c r="BJ3" i="3" s="1"/>
  <c r="BJ7" i="3" s="1"/>
  <c r="BH11" i="3"/>
  <c r="BH13" i="3" s="1"/>
  <c r="BI11" i="3" l="1"/>
  <c r="BI13" i="3" s="1"/>
  <c r="BJ11" i="3" l="1"/>
  <c r="BJ13" i="3" s="1"/>
  <c r="B7" i="3" l="1"/>
  <c r="B10" i="3"/>
  <c r="C10" i="3" s="1"/>
  <c r="D10" i="3" s="1"/>
  <c r="B11" i="3" l="1"/>
  <c r="D11" i="3"/>
  <c r="D13" i="3" s="1"/>
  <c r="E10" i="3"/>
  <c r="F10" i="3" s="1"/>
  <c r="G10" i="3" s="1"/>
  <c r="H10" i="3" s="1"/>
  <c r="I10" i="3" s="1"/>
  <c r="J10" i="3" s="1"/>
  <c r="K10" i="3" s="1"/>
  <c r="C11" i="3"/>
  <c r="C13" i="3" s="1"/>
  <c r="L10" i="3" l="1"/>
  <c r="M10" i="3" s="1"/>
  <c r="N10" i="3" s="1"/>
  <c r="O10" i="3" s="1"/>
  <c r="B13" i="3"/>
  <c r="B14" i="3" s="1"/>
  <c r="C14" i="3" s="1"/>
  <c r="D14" i="3" s="1"/>
  <c r="J11" i="3"/>
  <c r="J13" i="3" s="1"/>
  <c r="F11" i="3"/>
  <c r="F13" i="3" s="1"/>
  <c r="E11" i="3"/>
  <c r="E13" i="3" s="1"/>
  <c r="G11" i="3"/>
  <c r="G13" i="3" s="1"/>
  <c r="N11" i="3" l="1"/>
  <c r="N13" i="3" s="1"/>
  <c r="P11" i="3"/>
  <c r="P13" i="3" s="1"/>
  <c r="O11" i="3"/>
  <c r="O13" i="3" s="1"/>
  <c r="K11" i="3"/>
  <c r="K13" i="3" s="1"/>
  <c r="E14" i="3"/>
  <c r="F14" i="3" s="1"/>
  <c r="G14" i="3" s="1"/>
  <c r="I11" i="3"/>
  <c r="I13" i="3" s="1"/>
  <c r="H11" i="3"/>
  <c r="H13" i="3" s="1"/>
  <c r="M11" i="3" l="1"/>
  <c r="M13" i="3" s="1"/>
  <c r="L11" i="3"/>
  <c r="L13" i="3" s="1"/>
  <c r="H14" i="3"/>
  <c r="I14" i="3" s="1"/>
  <c r="J14" i="3" s="1"/>
  <c r="K14" i="3" s="1"/>
  <c r="B16" i="3" l="1"/>
  <c r="B17" i="3"/>
  <c r="L14" i="3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BJ14" i="3" s="1"/>
  <c r="B20" i="3" l="1"/>
  <c r="B19" i="3"/>
</calcChain>
</file>

<file path=xl/sharedStrings.xml><?xml version="1.0" encoding="utf-8"?>
<sst xmlns="http://schemas.openxmlformats.org/spreadsheetml/2006/main" count="300" uniqueCount="207">
  <si>
    <t>Ventas</t>
  </si>
  <si>
    <t>Líneas de Producto / Canales de Venta</t>
  </si>
  <si>
    <t>Contadores</t>
  </si>
  <si>
    <t>Sueldos Empleados</t>
  </si>
  <si>
    <t>Gastos Operativos</t>
  </si>
  <si>
    <t>Mkt Digital + Publicidad</t>
  </si>
  <si>
    <t>Meses</t>
  </si>
  <si>
    <t>Utilidad Bruta</t>
  </si>
  <si>
    <t>EBITDA</t>
  </si>
  <si>
    <t>Amortizaciones</t>
  </si>
  <si>
    <t>EBIT</t>
  </si>
  <si>
    <t>EBT</t>
  </si>
  <si>
    <t>Resultados Financieros +</t>
  </si>
  <si>
    <t>Resultados Financieros -</t>
  </si>
  <si>
    <t>OPEX</t>
  </si>
  <si>
    <t>NOPAT</t>
  </si>
  <si>
    <t>Costo Unitario</t>
  </si>
  <si>
    <t>Cantidad</t>
  </si>
  <si>
    <t>CxQ</t>
  </si>
  <si>
    <t>Bien de Uso</t>
  </si>
  <si>
    <t>Amortización (años)</t>
  </si>
  <si>
    <t>Amortización (mensual)</t>
  </si>
  <si>
    <t>Referencia</t>
  </si>
  <si>
    <t>Intereses Financieros</t>
  </si>
  <si>
    <t>INGRESOS</t>
  </si>
  <si>
    <t>EGRESOS</t>
  </si>
  <si>
    <r>
      <rPr>
        <sz val="11"/>
        <color theme="1"/>
        <rFont val="Meiryo"/>
        <family val="2"/>
        <charset val="128"/>
      </rPr>
      <t>Δ</t>
    </r>
    <r>
      <rPr>
        <sz val="11"/>
        <color theme="1"/>
        <rFont val="Calibri"/>
        <family val="2"/>
      </rPr>
      <t>WC</t>
    </r>
    <r>
      <rPr>
        <sz val="11"/>
        <color theme="1"/>
        <rFont val="Calibri"/>
        <family val="2"/>
        <charset val="128"/>
      </rPr>
      <t xml:space="preserve"> (Caja mínima)</t>
    </r>
  </si>
  <si>
    <t>FCFF</t>
  </si>
  <si>
    <t>Flujo Efectivo</t>
  </si>
  <si>
    <t>Membresía Premium</t>
  </si>
  <si>
    <t>Enterprise</t>
  </si>
  <si>
    <t>Scholar</t>
  </si>
  <si>
    <t>Año 1</t>
  </si>
  <si>
    <t>Año 2</t>
  </si>
  <si>
    <t>Año 3</t>
  </si>
  <si>
    <t>Año 4</t>
  </si>
  <si>
    <t>Año 5</t>
  </si>
  <si>
    <t>Free</t>
  </si>
  <si>
    <t>Membresía Free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</si>
  <si>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</si>
  <si>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</si>
  <si>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</si>
  <si>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</si>
  <si>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</si>
  <si>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</si>
  <si>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</si>
  <si>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</si>
  <si>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</si>
  <si>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</si>
  <si>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</si>
  <si>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</si>
  <si>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Ratio a Premium</t>
  </si>
  <si>
    <t>Inglaterra</t>
  </si>
  <si>
    <t>España</t>
  </si>
  <si>
    <t>Premium (1er MES Free)</t>
  </si>
  <si>
    <t>Publi promedio x campaña</t>
  </si>
  <si>
    <t>Mkt Digital Año 1</t>
  </si>
  <si>
    <t>Mkt Digital Año 2</t>
  </si>
  <si>
    <t>Mkt Digital Año 3</t>
  </si>
  <si>
    <t>Mkt Digital Año 5</t>
  </si>
  <si>
    <t>Mkt Digital Año 4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</si>
  <si>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</si>
  <si>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</si>
  <si>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</si>
  <si>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</si>
  <si>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</si>
  <si>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</si>
  <si>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</si>
  <si>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</si>
  <si>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</si>
  <si>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</si>
  <si>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</si>
  <si>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</si>
  <si>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</si>
  <si>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</si>
  <si>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</si>
  <si>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</si>
  <si>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</si>
  <si>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</si>
  <si>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</si>
  <si>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</si>
  <si>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</si>
  <si>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</si>
  <si>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</si>
  <si>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</si>
  <si>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</si>
  <si>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</si>
  <si>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</si>
  <si>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</si>
  <si>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</si>
  <si>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</si>
  <si>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</si>
  <si>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</si>
  <si>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</si>
  <si>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</si>
  <si>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</si>
  <si>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</si>
  <si>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MES 49</t>
  </si>
  <si>
    <t>MES 50</t>
  </si>
  <si>
    <t>MES 51</t>
  </si>
  <si>
    <t>MES 52</t>
  </si>
  <si>
    <t>MES 53</t>
  </si>
  <si>
    <t>MES 54</t>
  </si>
  <si>
    <t>MES 55</t>
  </si>
  <si>
    <t>MES 56</t>
  </si>
  <si>
    <t>MES 57</t>
  </si>
  <si>
    <t>MES 58</t>
  </si>
  <si>
    <t>MES 59</t>
  </si>
  <si>
    <t>MES 60</t>
  </si>
  <si>
    <t>Costos de ventas</t>
  </si>
  <si>
    <t>Hosting AWS</t>
  </si>
  <si>
    <t>Dominio</t>
  </si>
  <si>
    <t>&lt;-- USD 100 anual, prorrateado</t>
  </si>
  <si>
    <t>GitLab</t>
  </si>
  <si>
    <t>FIGMA</t>
  </si>
  <si>
    <t>ZEPLIN</t>
  </si>
  <si>
    <t>&lt;-- Por usuario por mes</t>
  </si>
  <si>
    <t>&lt;-- interno para pushear cambios en el código</t>
  </si>
  <si>
    <t>App Store (Apple Inc.)</t>
  </si>
  <si>
    <t>Play Store (Alphabet Inc.)</t>
  </si>
  <si>
    <t>&lt;-- USD 99 anual, prorrateado</t>
  </si>
  <si>
    <t>&lt;-- USD 25 anual, prorrateado</t>
  </si>
  <si>
    <t>Call Center Posventa</t>
  </si>
  <si>
    <t>Abogados</t>
  </si>
  <si>
    <t>Landing Page Explicativa</t>
  </si>
  <si>
    <t>Ratio de Crecimiento Scholar</t>
  </si>
  <si>
    <t>Free Acum.</t>
  </si>
  <si>
    <t>Premium Acum.</t>
  </si>
  <si>
    <t>Enterprise Acum.</t>
  </si>
  <si>
    <t>Scholar Acum.</t>
  </si>
  <si>
    <t>Donaciones</t>
  </si>
  <si>
    <t>VAN</t>
  </si>
  <si>
    <t>TIR</t>
  </si>
  <si>
    <t>Proyecto Viable</t>
  </si>
  <si>
    <t>Inflación</t>
  </si>
  <si>
    <t>Costo Ventas</t>
  </si>
  <si>
    <t>PayPal Fee Mensual</t>
  </si>
  <si>
    <t>PayPal Procesamiento Tarjetas</t>
  </si>
  <si>
    <t>Año 3-5</t>
  </si>
  <si>
    <t>Salarios</t>
  </si>
  <si>
    <t>TOTAL</t>
  </si>
  <si>
    <t>Ratios Mensuales</t>
  </si>
  <si>
    <t>AWS Data Center</t>
  </si>
  <si>
    <t>https://www.gurufocus.com/term/wacc/LNKD/WACC/LinkedIn%2BCorp</t>
  </si>
  <si>
    <t>AnswerConnect Chat Support</t>
  </si>
  <si>
    <t>https://www.virtualassistantassistant.com/answerconnect#:~:text=AnswerConnect%20currently%20has%20six%20different,minute%20for%20their%20largest%20plan.</t>
  </si>
  <si>
    <t>Año</t>
  </si>
  <si>
    <t>Inflación anual</t>
  </si>
  <si>
    <t>Promedio</t>
  </si>
  <si>
    <t>AWS S3 Standard hasta 50TB a 0,023 USD x GB x mes y luego 450TB a 0,022 USD x GB x mes</t>
  </si>
  <si>
    <t>https://www.bls.gov/</t>
  </si>
  <si>
    <t>https://aws.amazon.com/es/s3/pricing/</t>
  </si>
  <si>
    <t>https://merchantmachine.co.uk/online-payment-systems/</t>
  </si>
  <si>
    <t>Tax rate up to 50.000 GBP</t>
  </si>
  <si>
    <t>Tax rate up to 150.000 GBP</t>
  </si>
  <si>
    <t>Tax rate over 150.000 GBP</t>
  </si>
  <si>
    <t>TAX de UK</t>
  </si>
  <si>
    <t>Income Tax</t>
  </si>
  <si>
    <t>Contribución Marginal</t>
  </si>
  <si>
    <t>Publicidad</t>
  </si>
  <si>
    <t>&lt;-- Gastos anuales en Mkt digital</t>
  </si>
  <si>
    <t>Ratio de Crecimiento Publicidad</t>
  </si>
  <si>
    <t>Ratio de perdida de usuarios</t>
  </si>
  <si>
    <t>Datos de demografía entre 15-28 años</t>
  </si>
  <si>
    <t>TIR - WACC</t>
  </si>
  <si>
    <t>OJO! SI VAMOS A JUGAR CON LAS VARIABLES… COMPENSAR LA DONACIÓN INICIAL Y LA VARIACIÓN DE CAPITAL DE TRABAJO!!</t>
  </si>
  <si>
    <t>Hacer la conversión de GBP a USD en fila 33</t>
  </si>
  <si>
    <t>Ratio de Crecimiento Enterprise</t>
  </si>
  <si>
    <t>&lt;-- Nro Clave p/ un inversor</t>
  </si>
  <si>
    <t>Computadoras Año 1</t>
  </si>
  <si>
    <t>Computadoras Año 2</t>
  </si>
  <si>
    <t>Computadoras Año 3</t>
  </si>
  <si>
    <t>PayPal Procesamiento Tarjetas Fee</t>
  </si>
  <si>
    <t>Socios</t>
  </si>
  <si>
    <t>Sueldos Socios</t>
  </si>
  <si>
    <t>250.000 miembros (free+premium) consumen 50TB de memoria</t>
  </si>
  <si>
    <t>Fuente: Family &amp; Friends</t>
  </si>
  <si>
    <t>Origen Digital</t>
  </si>
  <si>
    <t>Al final de los 60 meses:</t>
  </si>
  <si>
    <t>Miembros</t>
  </si>
  <si>
    <t>Empresas</t>
  </si>
  <si>
    <t>Instituciones</t>
  </si>
  <si>
    <t>Acaparo</t>
  </si>
  <si>
    <t>Precio Venta Publico</t>
  </si>
  <si>
    <t>Ratio de Crecimiento New Users</t>
  </si>
  <si>
    <t>Curva se suaviza</t>
  </si>
  <si>
    <t>Se duplica año a año porque se vuelve cada vez más competitivo</t>
  </si>
  <si>
    <t>https://www.amazon.com/-/es/Ordenador-port%C3%A1til-Apple-MacBook-espacial/dp/B081FZV45H/ref=sr_1_5?__mk_es_US=%C3%85M%C3%85%C5%BD%C3%95%C3%91&amp;dchild=1&amp;keywords=macbook+pro&amp;qid=1613071349&amp;sr=8-5</t>
  </si>
  <si>
    <t>Fuente: Aerolab</t>
  </si>
  <si>
    <t>Software Factory</t>
  </si>
  <si>
    <r>
      <t xml:space="preserve">WACC </t>
    </r>
    <r>
      <rPr>
        <b/>
        <sz val="11"/>
        <color rgb="FFFF0000"/>
        <rFont val="Calibri"/>
        <family val="2"/>
        <scheme val="minor"/>
      </rPr>
      <t>(Costo de Capital)</t>
    </r>
    <r>
      <rPr>
        <b/>
        <sz val="11"/>
        <rFont val="Calibri"/>
        <family val="2"/>
        <scheme val="minor"/>
      </rPr>
      <t xml:space="preserve"> 8/2</t>
    </r>
  </si>
  <si>
    <t>MES 0</t>
  </si>
  <si>
    <t>Technical Personnel (ARG)</t>
  </si>
  <si>
    <t>C-Levels</t>
  </si>
  <si>
    <t>Dev Back end x HH</t>
  </si>
  <si>
    <t>PM x HH</t>
  </si>
  <si>
    <t>Dev Front x HH</t>
  </si>
  <si>
    <t>&gt;&gt; 20 días x 8 hs</t>
  </si>
  <si>
    <t>&gt;&gt; 6 meses</t>
  </si>
  <si>
    <t>&gt;&gt; 125 hs</t>
  </si>
  <si>
    <t>CAPEX</t>
  </si>
  <si>
    <t>Inversión</t>
  </si>
  <si>
    <t>People's Representative</t>
  </si>
  <si>
    <t>RRHH</t>
  </si>
  <si>
    <t>COO, CFO y CMO</t>
  </si>
  <si>
    <t xml:space="preserve">Non-Technical Personnel </t>
  </si>
  <si>
    <t>Cyber Security Analyst/CISO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</si>
</sst>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USD]\ #,##0.00"/>
    <numFmt numFmtId="165" formatCode="[$ARS]\ #,##0.00"/>
    <numFmt numFmtId="166" formatCode="[$ARS]\ #,##0.00;[Red]\-[$ARS]\ #,##0.00"/>
    <numFmt numFmtId="167" formatCode="_-* #,##0.00\ _X_D_R_-;\-* #,##0.00\ _X_D_R_-;_-* &quot;-&quot;??\ _X_D_R_-;_-@_-"/>
    <numFmt numFmtId="168" formatCode="[$USD]\ #,##0.00;[Red]\-[$USD]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Meiryo"/>
      <family val="2"/>
      <charset val="128"/>
    </font>
    <font>
      <sz val="11"/>
      <color theme="1"/>
      <name val="Calibri"/>
      <family val="2"/>
    </font>
    <font>
      <sz val="11"/>
      <color theme="1"/>
      <name val="Calibri"/>
      <family val="2"/>
      <charset val="128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4" tint="0.3999755851924192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2" borderId="0" xfId="1" applyFont="1" applyFill="1"/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right"/>
    </xf>
    <xf numFmtId="43" fontId="0" fillId="2" borderId="4" xfId="1" applyFont="1" applyFill="1" applyBorder="1"/>
    <xf numFmtId="0" fontId="4" fillId="0" borderId="6" xfId="0" applyFont="1" applyBorder="1" applyAlignment="1">
      <alignment horizontal="right"/>
    </xf>
    <xf numFmtId="43" fontId="4" fillId="2" borderId="0" xfId="1" applyFont="1" applyFill="1" applyBorder="1"/>
    <xf numFmtId="0" fontId="0" fillId="0" borderId="0" xfId="0" applyBorder="1"/>
    <xf numFmtId="43" fontId="0" fillId="2" borderId="9" xfId="1" applyFont="1" applyFill="1" applyBorder="1"/>
    <xf numFmtId="166" fontId="0" fillId="0" borderId="0" xfId="0" applyNumberFormat="1" applyFont="1" applyBorder="1"/>
    <xf numFmtId="0" fontId="2" fillId="0" borderId="11" xfId="0" applyFont="1" applyBorder="1"/>
    <xf numFmtId="0" fontId="2" fillId="0" borderId="0" xfId="0" applyFont="1" applyBorder="1"/>
    <xf numFmtId="0" fontId="0" fillId="0" borderId="2" xfId="0" applyBorder="1" applyAlignment="1">
      <alignment horizontal="center"/>
    </xf>
    <xf numFmtId="9" fontId="0" fillId="0" borderId="0" xfId="2" applyFont="1"/>
    <xf numFmtId="43" fontId="0" fillId="0" borderId="0" xfId="1" applyFont="1"/>
    <xf numFmtId="43" fontId="2" fillId="0" borderId="0" xfId="1" applyFont="1"/>
    <xf numFmtId="10" fontId="0" fillId="0" borderId="0" xfId="2" applyNumberFormat="1" applyFont="1"/>
    <xf numFmtId="167" fontId="0" fillId="0" borderId="0" xfId="0" applyNumberFormat="1"/>
    <xf numFmtId="10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3" fontId="0" fillId="0" borderId="0" xfId="1" applyFont="1" applyFill="1"/>
    <xf numFmtId="164" fontId="8" fillId="0" borderId="0" xfId="0" applyNumberFormat="1" applyFont="1"/>
    <xf numFmtId="0" fontId="3" fillId="0" borderId="0" xfId="0" applyFont="1"/>
    <xf numFmtId="164" fontId="2" fillId="0" borderId="0" xfId="0" applyNumberFormat="1" applyFont="1" applyBorder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/>
    <xf numFmtId="168" fontId="2" fillId="0" borderId="12" xfId="0" applyNumberFormat="1" applyFont="1" applyBorder="1"/>
    <xf numFmtId="168" fontId="0" fillId="0" borderId="0" xfId="0" applyNumberFormat="1" applyFont="1" applyBorder="1"/>
    <xf numFmtId="168" fontId="0" fillId="0" borderId="0" xfId="0" applyNumberFormat="1"/>
    <xf numFmtId="168" fontId="2" fillId="0" borderId="0" xfId="0" applyNumberFormat="1" applyFont="1"/>
    <xf numFmtId="168" fontId="9" fillId="0" borderId="0" xfId="0" applyNumberFormat="1" applyFont="1" applyBorder="1"/>
    <xf numFmtId="168" fontId="0" fillId="0" borderId="0" xfId="0" applyNumberFormat="1" applyBorder="1"/>
    <xf numFmtId="168" fontId="0" fillId="0" borderId="2" xfId="0" applyNumberFormat="1" applyBorder="1"/>
    <xf numFmtId="168" fontId="2" fillId="0" borderId="0" xfId="0" applyNumberFormat="1" applyFont="1" applyBorder="1"/>
    <xf numFmtId="168" fontId="2" fillId="0" borderId="2" xfId="0" applyNumberFormat="1" applyFont="1" applyBorder="1"/>
    <xf numFmtId="43" fontId="0" fillId="0" borderId="0" xfId="1" applyFont="1" applyBorder="1"/>
    <xf numFmtId="10" fontId="0" fillId="0" borderId="0" xfId="0" applyNumberFormat="1"/>
    <xf numFmtId="0" fontId="0" fillId="0" borderId="0" xfId="0" applyFill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3" xfId="0" applyBorder="1"/>
    <xf numFmtId="0" fontId="0" fillId="0" borderId="7" xfId="0" applyBorder="1"/>
    <xf numFmtId="43" fontId="0" fillId="0" borderId="7" xfId="1" applyFont="1" applyBorder="1"/>
    <xf numFmtId="43" fontId="0" fillId="0" borderId="0" xfId="1" applyFont="1" applyFill="1" applyBorder="1"/>
    <xf numFmtId="43" fontId="0" fillId="0" borderId="9" xfId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4" xfId="1" applyFont="1" applyBorder="1"/>
    <xf numFmtId="43" fontId="0" fillId="0" borderId="5" xfId="1" applyFont="1" applyBorder="1"/>
    <xf numFmtId="43" fontId="0" fillId="0" borderId="9" xfId="1" applyFont="1" applyFill="1" applyBorder="1"/>
    <xf numFmtId="43" fontId="0" fillId="0" borderId="10" xfId="1" applyFont="1" applyFill="1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8" xfId="0" applyBorder="1"/>
    <xf numFmtId="9" fontId="0" fillId="2" borderId="10" xfId="0" applyNumberFormat="1" applyFill="1" applyBorder="1"/>
    <xf numFmtId="0" fontId="0" fillId="0" borderId="6" xfId="0" applyBorder="1"/>
    <xf numFmtId="9" fontId="0" fillId="2" borderId="15" xfId="0" applyNumberFormat="1" applyFill="1" applyBorder="1" applyAlignment="1">
      <alignment horizontal="center"/>
    </xf>
    <xf numFmtId="9" fontId="0" fillId="0" borderId="15" xfId="2" applyFont="1" applyBorder="1" applyAlignment="1">
      <alignment horizontal="center"/>
    </xf>
    <xf numFmtId="0" fontId="0" fillId="2" borderId="17" xfId="1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/>
    <xf numFmtId="0" fontId="0" fillId="0" borderId="0" xfId="0" applyBorder="1" applyAlignment="1">
      <alignment horizontal="center"/>
    </xf>
    <xf numFmtId="43" fontId="0" fillId="2" borderId="5" xfId="1" applyFont="1" applyFill="1" applyBorder="1"/>
    <xf numFmtId="43" fontId="4" fillId="2" borderId="7" xfId="1" applyFont="1" applyFill="1" applyBorder="1"/>
    <xf numFmtId="43" fontId="0" fillId="2" borderId="10" xfId="1" applyFont="1" applyFill="1" applyBorder="1"/>
    <xf numFmtId="0" fontId="0" fillId="0" borderId="11" xfId="0" applyFill="1" applyBorder="1" applyAlignment="1">
      <alignment horizontal="right"/>
    </xf>
    <xf numFmtId="43" fontId="0" fillId="2" borderId="12" xfId="1" applyFont="1" applyFill="1" applyBorder="1"/>
    <xf numFmtId="43" fontId="0" fillId="2" borderId="13" xfId="1" applyFont="1" applyFill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9" xfId="0" applyFont="1" applyFill="1" applyBorder="1"/>
    <xf numFmtId="10" fontId="0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6" xfId="0" applyNumberFormat="1" applyFill="1" applyBorder="1"/>
    <xf numFmtId="43" fontId="0" fillId="2" borderId="3" xfId="1" applyFont="1" applyFill="1" applyBorder="1"/>
    <xf numFmtId="43" fontId="0" fillId="0" borderId="6" xfId="1" applyFont="1" applyBorder="1"/>
    <xf numFmtId="43" fontId="0" fillId="2" borderId="6" xfId="1" applyFont="1" applyFill="1" applyBorder="1"/>
    <xf numFmtId="43" fontId="0" fillId="0" borderId="8" xfId="1" applyFont="1" applyFill="1" applyBorder="1"/>
    <xf numFmtId="0" fontId="12" fillId="0" borderId="3" xfId="0" applyFont="1" applyFill="1" applyBorder="1"/>
    <xf numFmtId="168" fontId="0" fillId="0" borderId="5" xfId="0" applyNumberFormat="1" applyFont="1" applyBorder="1"/>
    <xf numFmtId="0" fontId="12" fillId="0" borderId="6" xfId="0" applyFont="1" applyFill="1" applyBorder="1"/>
    <xf numFmtId="10" fontId="0" fillId="0" borderId="7" xfId="0" applyNumberFormat="1" applyBorder="1" applyAlignment="1">
      <alignment horizontal="center"/>
    </xf>
    <xf numFmtId="0" fontId="12" fillId="0" borderId="8" xfId="0" applyFont="1" applyFill="1" applyBorder="1"/>
    <xf numFmtId="0" fontId="0" fillId="0" borderId="10" xfId="0" applyBorder="1" applyAlignment="1">
      <alignment horizontal="center"/>
    </xf>
    <xf numFmtId="164" fontId="0" fillId="0" borderId="7" xfId="0" applyNumberFormat="1" applyBorder="1"/>
    <xf numFmtId="9" fontId="0" fillId="2" borderId="5" xfId="0" applyNumberFormat="1" applyFill="1" applyBorder="1"/>
    <xf numFmtId="9" fontId="0" fillId="2" borderId="7" xfId="0" applyNumberFormat="1" applyFill="1" applyBorder="1"/>
    <xf numFmtId="0" fontId="3" fillId="0" borderId="0" xfId="0" applyFont="1" applyBorder="1"/>
    <xf numFmtId="0" fontId="13" fillId="0" borderId="11" xfId="0" applyFont="1" applyBorder="1"/>
    <xf numFmtId="168" fontId="13" fillId="0" borderId="12" xfId="0" applyNumberFormat="1" applyFont="1" applyBorder="1"/>
    <xf numFmtId="9" fontId="0" fillId="2" borderId="17" xfId="0" applyNumberFormat="1" applyFill="1" applyBorder="1" applyAlignment="1">
      <alignment horizontal="center"/>
    </xf>
    <xf numFmtId="168" fontId="10" fillId="0" borderId="0" xfId="0" applyNumberFormat="1" applyFont="1" applyBorder="1"/>
    <xf numFmtId="0" fontId="14" fillId="3" borderId="0" xfId="0" applyFont="1" applyFill="1"/>
    <xf numFmtId="0" fontId="0" fillId="3" borderId="0" xfId="0" applyFill="1"/>
    <xf numFmtId="0" fontId="4" fillId="0" borderId="0" xfId="0" applyFont="1" applyAlignment="1">
      <alignment horizontal="right"/>
    </xf>
    <xf numFmtId="10" fontId="0" fillId="2" borderId="7" xfId="2" applyNumberFormat="1" applyFont="1" applyFill="1" applyBorder="1"/>
    <xf numFmtId="0" fontId="0" fillId="0" borderId="8" xfId="0" applyFont="1" applyBorder="1" applyAlignment="1">
      <alignment horizontal="right"/>
    </xf>
    <xf numFmtId="43" fontId="0" fillId="0" borderId="4" xfId="1" applyFont="1" applyFill="1" applyBorder="1"/>
    <xf numFmtId="0" fontId="11" fillId="0" borderId="4" xfId="0" applyFont="1" applyFill="1" applyBorder="1"/>
    <xf numFmtId="0" fontId="2" fillId="4" borderId="11" xfId="0" applyFont="1" applyFill="1" applyBorder="1"/>
    <xf numFmtId="10" fontId="0" fillId="0" borderId="0" xfId="2" applyNumberFormat="1" applyFont="1" applyAlignment="1">
      <alignment vertical="center"/>
    </xf>
    <xf numFmtId="2" fontId="0" fillId="0" borderId="0" xfId="0" applyNumberFormat="1"/>
    <xf numFmtId="9" fontId="0" fillId="0" borderId="0" xfId="0" applyNumberFormat="1"/>
    <xf numFmtId="43" fontId="0" fillId="2" borderId="16" xfId="1" applyFont="1" applyFill="1" applyBorder="1"/>
    <xf numFmtId="43" fontId="0" fillId="0" borderId="15" xfId="1" applyFont="1" applyFill="1" applyBorder="1"/>
    <xf numFmtId="43" fontId="0" fillId="0" borderId="17" xfId="1" applyFont="1" applyFill="1" applyBorder="1"/>
    <xf numFmtId="9" fontId="0" fillId="2" borderId="0" xfId="0" applyNumberFormat="1" applyFill="1"/>
    <xf numFmtId="0" fontId="11" fillId="0" borderId="0" xfId="0" applyFont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3" fontId="0" fillId="2" borderId="1" xfId="1" applyFont="1" applyFill="1" applyBorder="1"/>
    <xf numFmtId="43" fontId="0" fillId="0" borderId="1" xfId="1" applyFont="1" applyFill="1" applyBorder="1"/>
    <xf numFmtId="0" fontId="4" fillId="0" borderId="6" xfId="0" applyFont="1" applyFill="1" applyBorder="1" applyAlignment="1">
      <alignment horizontal="right"/>
    </xf>
    <xf numFmtId="2" fontId="0" fillId="0" borderId="7" xfId="1" applyNumberFormat="1" applyFont="1" applyBorder="1"/>
    <xf numFmtId="0" fontId="2" fillId="0" borderId="3" xfId="0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10" xfId="0" applyNumberFormat="1" applyFont="1" applyBorder="1"/>
    <xf numFmtId="0" fontId="0" fillId="0" borderId="0" xfId="0" applyFont="1" applyFill="1" applyBorder="1"/>
    <xf numFmtId="43" fontId="0" fillId="2" borderId="1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Ventas!$A$19</c:f>
              <c:strCache>
                <c:ptCount val="1"/>
                <c:pt idx="0">
                  <c:v>Premium (1er MES Free)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Ventas!$B$16:$BI$16</c:f>
              <c:strCache>
                <c:ptCount val="60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MES 13</c:v>
                </c:pt>
                <c:pt idx="13">
                  <c:v>MES 14</c:v>
                </c:pt>
                <c:pt idx="14">
                  <c:v>MES 15</c:v>
                </c:pt>
                <c:pt idx="15">
                  <c:v>MES 16</c:v>
                </c:pt>
                <c:pt idx="16">
                  <c:v>MES 17</c:v>
                </c:pt>
                <c:pt idx="17">
                  <c:v>MES 18</c:v>
                </c:pt>
                <c:pt idx="18">
                  <c:v>MES 19</c:v>
                </c:pt>
                <c:pt idx="19">
                  <c:v>MES 20</c:v>
                </c:pt>
                <c:pt idx="20">
                  <c:v>MES 21</c:v>
                </c:pt>
                <c:pt idx="21">
                  <c:v>MES 22</c:v>
                </c:pt>
                <c:pt idx="22">
                  <c:v>MES 23</c:v>
                </c:pt>
                <c:pt idx="23">
                  <c:v>MES 24</c:v>
                </c:pt>
                <c:pt idx="24">
                  <c:v>MES 25</c:v>
                </c:pt>
                <c:pt idx="25">
                  <c:v>MES 26</c:v>
                </c:pt>
                <c:pt idx="26">
                  <c:v>MES 27</c:v>
                </c:pt>
                <c:pt idx="27">
                  <c:v>MES 28</c:v>
                </c:pt>
                <c:pt idx="28">
                  <c:v>MES 29</c:v>
                </c:pt>
                <c:pt idx="29">
                  <c:v>MES 30</c:v>
                </c:pt>
                <c:pt idx="30">
                  <c:v>MES 31</c:v>
                </c:pt>
                <c:pt idx="31">
                  <c:v>MES 32</c:v>
                </c:pt>
                <c:pt idx="32">
                  <c:v>MES 33</c:v>
                </c:pt>
                <c:pt idx="33">
                  <c:v>MES 34</c:v>
                </c:pt>
                <c:pt idx="34">
                  <c:v>MES 35</c:v>
                </c:pt>
                <c:pt idx="35">
                  <c:v>MES 36</c:v>
                </c:pt>
                <c:pt idx="36">
                  <c:v>MES 37</c:v>
                </c:pt>
                <c:pt idx="37">
                  <c:v>MES 38</c:v>
                </c:pt>
                <c:pt idx="38">
                  <c:v>MES 39</c:v>
                </c:pt>
                <c:pt idx="39">
                  <c:v>MES 40</c:v>
                </c:pt>
                <c:pt idx="40">
                  <c:v>MES 41</c:v>
                </c:pt>
                <c:pt idx="41">
                  <c:v>MES 42</c:v>
                </c:pt>
                <c:pt idx="42">
                  <c:v>MES 43</c:v>
                </c:pt>
                <c:pt idx="43">
                  <c:v>MES 44</c:v>
                </c:pt>
                <c:pt idx="44">
                  <c:v>MES 45</c:v>
                </c:pt>
                <c:pt idx="45">
                  <c:v>MES 46</c:v>
                </c:pt>
                <c:pt idx="46">
                  <c:v>MES 47</c:v>
                </c:pt>
                <c:pt idx="47">
                  <c:v>MES 48</c:v>
                </c:pt>
                <c:pt idx="48">
                  <c:v>MES 49</c:v>
                </c:pt>
                <c:pt idx="49">
                  <c:v>MES 50</c:v>
                </c:pt>
                <c:pt idx="50">
                  <c:v>MES 51</c:v>
                </c:pt>
                <c:pt idx="51">
                  <c:v>MES 52</c:v>
                </c:pt>
                <c:pt idx="52">
                  <c:v>MES 53</c:v>
                </c:pt>
                <c:pt idx="53">
                  <c:v>MES 54</c:v>
                </c:pt>
                <c:pt idx="54">
                  <c:v>MES 55</c:v>
                </c:pt>
                <c:pt idx="55">
                  <c:v>MES 56</c:v>
                </c:pt>
                <c:pt idx="56">
                  <c:v>MES 57</c:v>
                </c:pt>
                <c:pt idx="57">
                  <c:v>MES 58</c:v>
                </c:pt>
                <c:pt idx="58">
                  <c:v>MES 59</c:v>
                </c:pt>
                <c:pt idx="59">
                  <c:v>MES 60</c:v>
                </c:pt>
              </c:strCache>
            </c:strRef>
          </c:cat>
          <c:val>
            <c:numRef>
              <c:f>Ventas!$B$24:$BI$24</c:f>
              <c:numCache>
                <c:formatCode>_(* #,##0.00_);_(* \(#,##0.00\);_(* "-"??_);_(@_)</c:formatCode>
                <c:ptCount val="60"/>
                <c:pt idx="0">
                  <c:v>0</c:v>
                </c:pt>
                <c:pt idx="1">
                  <c:v>9</c:v>
                </c:pt>
                <c:pt idx="2">
                  <c:v>23</c:v>
                </c:pt>
                <c:pt idx="3">
                  <c:v>40</c:v>
                </c:pt>
                <c:pt idx="4">
                  <c:v>60</c:v>
                </c:pt>
                <c:pt idx="5">
                  <c:v>84</c:v>
                </c:pt>
                <c:pt idx="6">
                  <c:v>113</c:v>
                </c:pt>
                <c:pt idx="7">
                  <c:v>147</c:v>
                </c:pt>
                <c:pt idx="8">
                  <c:v>188</c:v>
                </c:pt>
                <c:pt idx="9">
                  <c:v>236</c:v>
                </c:pt>
                <c:pt idx="10">
                  <c:v>293</c:v>
                </c:pt>
                <c:pt idx="11">
                  <c:v>360</c:v>
                </c:pt>
                <c:pt idx="12">
                  <c:v>440</c:v>
                </c:pt>
                <c:pt idx="13">
                  <c:v>535</c:v>
                </c:pt>
                <c:pt idx="14">
                  <c:v>648</c:v>
                </c:pt>
                <c:pt idx="15">
                  <c:v>782</c:v>
                </c:pt>
                <c:pt idx="16">
                  <c:v>941</c:v>
                </c:pt>
                <c:pt idx="17">
                  <c:v>1130</c:v>
                </c:pt>
                <c:pt idx="18">
                  <c:v>1355</c:v>
                </c:pt>
                <c:pt idx="19">
                  <c:v>1622</c:v>
                </c:pt>
                <c:pt idx="20">
                  <c:v>1939</c:v>
                </c:pt>
                <c:pt idx="21">
                  <c:v>2316</c:v>
                </c:pt>
                <c:pt idx="22">
                  <c:v>2763</c:v>
                </c:pt>
                <c:pt idx="23">
                  <c:v>3294</c:v>
                </c:pt>
                <c:pt idx="24">
                  <c:v>3925</c:v>
                </c:pt>
                <c:pt idx="25">
                  <c:v>4675</c:v>
                </c:pt>
                <c:pt idx="26">
                  <c:v>5566</c:v>
                </c:pt>
                <c:pt idx="27">
                  <c:v>6624</c:v>
                </c:pt>
                <c:pt idx="28">
                  <c:v>7880</c:v>
                </c:pt>
                <c:pt idx="29">
                  <c:v>9371</c:v>
                </c:pt>
                <c:pt idx="30">
                  <c:v>11142</c:v>
                </c:pt>
                <c:pt idx="31">
                  <c:v>13245</c:v>
                </c:pt>
                <c:pt idx="32">
                  <c:v>15742</c:v>
                </c:pt>
                <c:pt idx="33">
                  <c:v>18707</c:v>
                </c:pt>
                <c:pt idx="34">
                  <c:v>22228</c:v>
                </c:pt>
                <c:pt idx="35">
                  <c:v>26408</c:v>
                </c:pt>
                <c:pt idx="36">
                  <c:v>31372</c:v>
                </c:pt>
                <c:pt idx="37">
                  <c:v>37268</c:v>
                </c:pt>
                <c:pt idx="38">
                  <c:v>44269</c:v>
                </c:pt>
                <c:pt idx="39">
                  <c:v>52582</c:v>
                </c:pt>
                <c:pt idx="40">
                  <c:v>62454</c:v>
                </c:pt>
                <c:pt idx="41">
                  <c:v>74177</c:v>
                </c:pt>
                <c:pt idx="42">
                  <c:v>88098</c:v>
                </c:pt>
                <c:pt idx="43">
                  <c:v>104628</c:v>
                </c:pt>
                <c:pt idx="44">
                  <c:v>124258</c:v>
                </c:pt>
                <c:pt idx="45">
                  <c:v>147569</c:v>
                </c:pt>
                <c:pt idx="46">
                  <c:v>175251</c:v>
                </c:pt>
                <c:pt idx="47">
                  <c:v>208123</c:v>
                </c:pt>
                <c:pt idx="48">
                  <c:v>247159</c:v>
                </c:pt>
                <c:pt idx="49">
                  <c:v>293514</c:v>
                </c:pt>
                <c:pt idx="50">
                  <c:v>348560</c:v>
                </c:pt>
                <c:pt idx="51">
                  <c:v>413927</c:v>
                </c:pt>
                <c:pt idx="52">
                  <c:v>491551</c:v>
                </c:pt>
                <c:pt idx="53">
                  <c:v>583730</c:v>
                </c:pt>
                <c:pt idx="54">
                  <c:v>693193</c:v>
                </c:pt>
                <c:pt idx="55">
                  <c:v>823180</c:v>
                </c:pt>
                <c:pt idx="56">
                  <c:v>977539</c:v>
                </c:pt>
                <c:pt idx="57">
                  <c:v>1160841</c:v>
                </c:pt>
                <c:pt idx="58">
                  <c:v>1378512</c:v>
                </c:pt>
                <c:pt idx="59">
                  <c:v>1636996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BEFD-40C4-91A2-004A7D1885A9}"/>
            </c:ext>
          </c:extLst>
        </c:ser>
        <c:ser>
          <c:idx val="1"/>
          <c:order val="3"/>
          <c:tx>
            <c:strRef>
              <c:f>Ventas!$A$18</c:f>
              <c:strCache>
                <c:ptCount val="1"/>
                <c:pt idx="0">
                  <c:v>Free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Ventas!$B$16:$BI$16</c:f>
              <c:strCache>
                <c:ptCount val="60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MES 13</c:v>
                </c:pt>
                <c:pt idx="13">
                  <c:v>MES 14</c:v>
                </c:pt>
                <c:pt idx="14">
                  <c:v>MES 15</c:v>
                </c:pt>
                <c:pt idx="15">
                  <c:v>MES 16</c:v>
                </c:pt>
                <c:pt idx="16">
                  <c:v>MES 17</c:v>
                </c:pt>
                <c:pt idx="17">
                  <c:v>MES 18</c:v>
                </c:pt>
                <c:pt idx="18">
                  <c:v>MES 19</c:v>
                </c:pt>
                <c:pt idx="19">
                  <c:v>MES 20</c:v>
                </c:pt>
                <c:pt idx="20">
                  <c:v>MES 21</c:v>
                </c:pt>
                <c:pt idx="21">
                  <c:v>MES 22</c:v>
                </c:pt>
                <c:pt idx="22">
                  <c:v>MES 23</c:v>
                </c:pt>
                <c:pt idx="23">
                  <c:v>MES 24</c:v>
                </c:pt>
                <c:pt idx="24">
                  <c:v>MES 25</c:v>
                </c:pt>
                <c:pt idx="25">
                  <c:v>MES 26</c:v>
                </c:pt>
                <c:pt idx="26">
                  <c:v>MES 27</c:v>
                </c:pt>
                <c:pt idx="27">
                  <c:v>MES 28</c:v>
                </c:pt>
                <c:pt idx="28">
                  <c:v>MES 29</c:v>
                </c:pt>
                <c:pt idx="29">
                  <c:v>MES 30</c:v>
                </c:pt>
                <c:pt idx="30">
                  <c:v>MES 31</c:v>
                </c:pt>
                <c:pt idx="31">
                  <c:v>MES 32</c:v>
                </c:pt>
                <c:pt idx="32">
                  <c:v>MES 33</c:v>
                </c:pt>
                <c:pt idx="33">
                  <c:v>MES 34</c:v>
                </c:pt>
                <c:pt idx="34">
                  <c:v>MES 35</c:v>
                </c:pt>
                <c:pt idx="35">
                  <c:v>MES 36</c:v>
                </c:pt>
                <c:pt idx="36">
                  <c:v>MES 37</c:v>
                </c:pt>
                <c:pt idx="37">
                  <c:v>MES 38</c:v>
                </c:pt>
                <c:pt idx="38">
                  <c:v>MES 39</c:v>
                </c:pt>
                <c:pt idx="39">
                  <c:v>MES 40</c:v>
                </c:pt>
                <c:pt idx="40">
                  <c:v>MES 41</c:v>
                </c:pt>
                <c:pt idx="41">
                  <c:v>MES 42</c:v>
                </c:pt>
                <c:pt idx="42">
                  <c:v>MES 43</c:v>
                </c:pt>
                <c:pt idx="43">
                  <c:v>MES 44</c:v>
                </c:pt>
                <c:pt idx="44">
                  <c:v>MES 45</c:v>
                </c:pt>
                <c:pt idx="45">
                  <c:v>MES 46</c:v>
                </c:pt>
                <c:pt idx="46">
                  <c:v>MES 47</c:v>
                </c:pt>
                <c:pt idx="47">
                  <c:v>MES 48</c:v>
                </c:pt>
                <c:pt idx="48">
                  <c:v>MES 49</c:v>
                </c:pt>
                <c:pt idx="49">
                  <c:v>MES 50</c:v>
                </c:pt>
                <c:pt idx="50">
                  <c:v>MES 51</c:v>
                </c:pt>
                <c:pt idx="51">
                  <c:v>MES 52</c:v>
                </c:pt>
                <c:pt idx="52">
                  <c:v>MES 53</c:v>
                </c:pt>
                <c:pt idx="53">
                  <c:v>MES 54</c:v>
                </c:pt>
                <c:pt idx="54">
                  <c:v>MES 55</c:v>
                </c:pt>
                <c:pt idx="55">
                  <c:v>MES 56</c:v>
                </c:pt>
                <c:pt idx="56">
                  <c:v>MES 57</c:v>
                </c:pt>
                <c:pt idx="57">
                  <c:v>MES 58</c:v>
                </c:pt>
                <c:pt idx="58">
                  <c:v>MES 59</c:v>
                </c:pt>
                <c:pt idx="59">
                  <c:v>MES 60</c:v>
                </c:pt>
              </c:strCache>
            </c:strRef>
          </c:cat>
          <c:val>
            <c:numRef>
              <c:f>Ventas!$B$23:$BI$23</c:f>
              <c:numCache>
                <c:formatCode>_(* #,##0.00_);_(* \(#,##0.00\);_(* "-"??_);_(@_)</c:formatCode>
                <c:ptCount val="60"/>
                <c:pt idx="0">
                  <c:v>30</c:v>
                </c:pt>
                <c:pt idx="1">
                  <c:v>57</c:v>
                </c:pt>
                <c:pt idx="2">
                  <c:v>86</c:v>
                </c:pt>
                <c:pt idx="3">
                  <c:v>120</c:v>
                </c:pt>
                <c:pt idx="4">
                  <c:v>161</c:v>
                </c:pt>
                <c:pt idx="5">
                  <c:v>209</c:v>
                </c:pt>
                <c:pt idx="6">
                  <c:v>266</c:v>
                </c:pt>
                <c:pt idx="7">
                  <c:v>334</c:v>
                </c:pt>
                <c:pt idx="8">
                  <c:v>414</c:v>
                </c:pt>
                <c:pt idx="9">
                  <c:v>510</c:v>
                </c:pt>
                <c:pt idx="10">
                  <c:v>624</c:v>
                </c:pt>
                <c:pt idx="11">
                  <c:v>760</c:v>
                </c:pt>
                <c:pt idx="12">
                  <c:v>921</c:v>
                </c:pt>
                <c:pt idx="13">
                  <c:v>1112</c:v>
                </c:pt>
                <c:pt idx="14">
                  <c:v>1339</c:v>
                </c:pt>
                <c:pt idx="15">
                  <c:v>1609</c:v>
                </c:pt>
                <c:pt idx="16">
                  <c:v>1930</c:v>
                </c:pt>
                <c:pt idx="17">
                  <c:v>2311</c:v>
                </c:pt>
                <c:pt idx="18">
                  <c:v>2763</c:v>
                </c:pt>
                <c:pt idx="19">
                  <c:v>3300</c:v>
                </c:pt>
                <c:pt idx="20">
                  <c:v>3938</c:v>
                </c:pt>
                <c:pt idx="21">
                  <c:v>4695</c:v>
                </c:pt>
                <c:pt idx="22">
                  <c:v>5595</c:v>
                </c:pt>
                <c:pt idx="23">
                  <c:v>6664</c:v>
                </c:pt>
                <c:pt idx="24">
                  <c:v>7933</c:v>
                </c:pt>
                <c:pt idx="25">
                  <c:v>9439</c:v>
                </c:pt>
                <c:pt idx="26">
                  <c:v>11227</c:v>
                </c:pt>
                <c:pt idx="27">
                  <c:v>13350</c:v>
                </c:pt>
                <c:pt idx="28">
                  <c:v>15871</c:v>
                </c:pt>
                <c:pt idx="29">
                  <c:v>18865</c:v>
                </c:pt>
                <c:pt idx="30">
                  <c:v>22420</c:v>
                </c:pt>
                <c:pt idx="31">
                  <c:v>26642</c:v>
                </c:pt>
                <c:pt idx="32">
                  <c:v>31656</c:v>
                </c:pt>
                <c:pt idx="33">
                  <c:v>37610</c:v>
                </c:pt>
                <c:pt idx="34">
                  <c:v>44680</c:v>
                </c:pt>
                <c:pt idx="35">
                  <c:v>53077</c:v>
                </c:pt>
                <c:pt idx="36">
                  <c:v>63048</c:v>
                </c:pt>
                <c:pt idx="37">
                  <c:v>74887</c:v>
                </c:pt>
                <c:pt idx="38">
                  <c:v>88946</c:v>
                </c:pt>
                <c:pt idx="39">
                  <c:v>105642</c:v>
                </c:pt>
                <c:pt idx="40">
                  <c:v>125468</c:v>
                </c:pt>
                <c:pt idx="41">
                  <c:v>149011</c:v>
                </c:pt>
                <c:pt idx="42">
                  <c:v>176968</c:v>
                </c:pt>
                <c:pt idx="43">
                  <c:v>210168</c:v>
                </c:pt>
                <c:pt idx="44">
                  <c:v>249592</c:v>
                </c:pt>
                <c:pt idx="45">
                  <c:v>296408</c:v>
                </c:pt>
                <c:pt idx="46">
                  <c:v>352002</c:v>
                </c:pt>
                <c:pt idx="47">
                  <c:v>418020</c:v>
                </c:pt>
                <c:pt idx="48">
                  <c:v>496416</c:v>
                </c:pt>
                <c:pt idx="49">
                  <c:v>589512</c:v>
                </c:pt>
                <c:pt idx="50">
                  <c:v>700064</c:v>
                </c:pt>
                <c:pt idx="51">
                  <c:v>831345</c:v>
                </c:pt>
                <c:pt idx="52">
                  <c:v>987241</c:v>
                </c:pt>
                <c:pt idx="53">
                  <c:v>1172367</c:v>
                </c:pt>
                <c:pt idx="54">
                  <c:v>1392204</c:v>
                </c:pt>
                <c:pt idx="55">
                  <c:v>1653261</c:v>
                </c:pt>
                <c:pt idx="56">
                  <c:v>1963267</c:v>
                </c:pt>
                <c:pt idx="57">
                  <c:v>2331398</c:v>
                </c:pt>
                <c:pt idx="58">
                  <c:v>2768554</c:v>
                </c:pt>
                <c:pt idx="59">
                  <c:v>3287677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6-4AAE-9CBE-6981127AB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409759"/>
        <c:axId val="1202311535"/>
      </c:lineChart>
      <c:lineChart>
        <c:grouping val="standard"/>
        <c:varyColors val="0"/>
        <c:ser>
          <c:idx val="0"/>
          <c:order val="1"/>
          <c:tx>
            <c:strRef>
              <c:f>Ventas!$A$21</c:f>
              <c:strCache>
                <c:ptCount val="1"/>
                <c:pt idx="0">
                  <c:v>Scholar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Ventas!$B$16:$BI$16</c:f>
              <c:strCache>
                <c:ptCount val="60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MES 13</c:v>
                </c:pt>
                <c:pt idx="13">
                  <c:v>MES 14</c:v>
                </c:pt>
                <c:pt idx="14">
                  <c:v>MES 15</c:v>
                </c:pt>
                <c:pt idx="15">
                  <c:v>MES 16</c:v>
                </c:pt>
                <c:pt idx="16">
                  <c:v>MES 17</c:v>
                </c:pt>
                <c:pt idx="17">
                  <c:v>MES 18</c:v>
                </c:pt>
                <c:pt idx="18">
                  <c:v>MES 19</c:v>
                </c:pt>
                <c:pt idx="19">
                  <c:v>MES 20</c:v>
                </c:pt>
                <c:pt idx="20">
                  <c:v>MES 21</c:v>
                </c:pt>
                <c:pt idx="21">
                  <c:v>MES 22</c:v>
                </c:pt>
                <c:pt idx="22">
                  <c:v>MES 23</c:v>
                </c:pt>
                <c:pt idx="23">
                  <c:v>MES 24</c:v>
                </c:pt>
                <c:pt idx="24">
                  <c:v>MES 25</c:v>
                </c:pt>
                <c:pt idx="25">
                  <c:v>MES 26</c:v>
                </c:pt>
                <c:pt idx="26">
                  <c:v>MES 27</c:v>
                </c:pt>
                <c:pt idx="27">
                  <c:v>MES 28</c:v>
                </c:pt>
                <c:pt idx="28">
                  <c:v>MES 29</c:v>
                </c:pt>
                <c:pt idx="29">
                  <c:v>MES 30</c:v>
                </c:pt>
                <c:pt idx="30">
                  <c:v>MES 31</c:v>
                </c:pt>
                <c:pt idx="31">
                  <c:v>MES 32</c:v>
                </c:pt>
                <c:pt idx="32">
                  <c:v>MES 33</c:v>
                </c:pt>
                <c:pt idx="33">
                  <c:v>MES 34</c:v>
                </c:pt>
                <c:pt idx="34">
                  <c:v>MES 35</c:v>
                </c:pt>
                <c:pt idx="35">
                  <c:v>MES 36</c:v>
                </c:pt>
                <c:pt idx="36">
                  <c:v>MES 37</c:v>
                </c:pt>
                <c:pt idx="37">
                  <c:v>MES 38</c:v>
                </c:pt>
                <c:pt idx="38">
                  <c:v>MES 39</c:v>
                </c:pt>
                <c:pt idx="39">
                  <c:v>MES 40</c:v>
                </c:pt>
                <c:pt idx="40">
                  <c:v>MES 41</c:v>
                </c:pt>
                <c:pt idx="41">
                  <c:v>MES 42</c:v>
                </c:pt>
                <c:pt idx="42">
                  <c:v>MES 43</c:v>
                </c:pt>
                <c:pt idx="43">
                  <c:v>MES 44</c:v>
                </c:pt>
                <c:pt idx="44">
                  <c:v>MES 45</c:v>
                </c:pt>
                <c:pt idx="45">
                  <c:v>MES 46</c:v>
                </c:pt>
                <c:pt idx="46">
                  <c:v>MES 47</c:v>
                </c:pt>
                <c:pt idx="47">
                  <c:v>MES 48</c:v>
                </c:pt>
                <c:pt idx="48">
                  <c:v>MES 49</c:v>
                </c:pt>
                <c:pt idx="49">
                  <c:v>MES 50</c:v>
                </c:pt>
                <c:pt idx="50">
                  <c:v>MES 51</c:v>
                </c:pt>
                <c:pt idx="51">
                  <c:v>MES 52</c:v>
                </c:pt>
                <c:pt idx="52">
                  <c:v>MES 53</c:v>
                </c:pt>
                <c:pt idx="53">
                  <c:v>MES 54</c:v>
                </c:pt>
                <c:pt idx="54">
                  <c:v>MES 55</c:v>
                </c:pt>
                <c:pt idx="55">
                  <c:v>MES 56</c:v>
                </c:pt>
                <c:pt idx="56">
                  <c:v>MES 57</c:v>
                </c:pt>
                <c:pt idx="57">
                  <c:v>MES 58</c:v>
                </c:pt>
                <c:pt idx="58">
                  <c:v>MES 59</c:v>
                </c:pt>
                <c:pt idx="59">
                  <c:v>MES 60</c:v>
                </c:pt>
              </c:strCache>
            </c:strRef>
          </c:cat>
          <c:val>
            <c:numRef>
              <c:f>Ventas!$B$26:$BI$26</c:f>
              <c:numCache>
                <c:formatCode>_(* #,##0.00_);_(* \(#,##0.00\);_(* "-"??_);_(@_)</c:formatCode>
                <c:ptCount val="60"/>
                <c:pt idx="0">
                  <c:v>7</c:v>
                </c:pt>
                <c:pt idx="1">
                  <c:v>15</c:v>
                </c:pt>
                <c:pt idx="2">
                  <c:v>25</c:v>
                </c:pt>
                <c:pt idx="3">
                  <c:v>37</c:v>
                </c:pt>
                <c:pt idx="4">
                  <c:v>51</c:v>
                </c:pt>
                <c:pt idx="5">
                  <c:v>68</c:v>
                </c:pt>
                <c:pt idx="6">
                  <c:v>88</c:v>
                </c:pt>
                <c:pt idx="7">
                  <c:v>112</c:v>
                </c:pt>
                <c:pt idx="8">
                  <c:v>141</c:v>
                </c:pt>
                <c:pt idx="9">
                  <c:v>175</c:v>
                </c:pt>
                <c:pt idx="10">
                  <c:v>215</c:v>
                </c:pt>
                <c:pt idx="11">
                  <c:v>263</c:v>
                </c:pt>
                <c:pt idx="12">
                  <c:v>318</c:v>
                </c:pt>
                <c:pt idx="13">
                  <c:v>381</c:v>
                </c:pt>
                <c:pt idx="14">
                  <c:v>453</c:v>
                </c:pt>
                <c:pt idx="15">
                  <c:v>535</c:v>
                </c:pt>
                <c:pt idx="16">
                  <c:v>628</c:v>
                </c:pt>
                <c:pt idx="17">
                  <c:v>734</c:v>
                </c:pt>
                <c:pt idx="18">
                  <c:v>855</c:v>
                </c:pt>
                <c:pt idx="19">
                  <c:v>993</c:v>
                </c:pt>
                <c:pt idx="20">
                  <c:v>1150</c:v>
                </c:pt>
                <c:pt idx="21">
                  <c:v>1329</c:v>
                </c:pt>
                <c:pt idx="22">
                  <c:v>1533</c:v>
                </c:pt>
                <c:pt idx="23">
                  <c:v>1766</c:v>
                </c:pt>
                <c:pt idx="24">
                  <c:v>2009</c:v>
                </c:pt>
                <c:pt idx="25">
                  <c:v>2263</c:v>
                </c:pt>
                <c:pt idx="26">
                  <c:v>2528</c:v>
                </c:pt>
                <c:pt idx="27">
                  <c:v>2805</c:v>
                </c:pt>
                <c:pt idx="28">
                  <c:v>3094</c:v>
                </c:pt>
                <c:pt idx="29">
                  <c:v>3396</c:v>
                </c:pt>
                <c:pt idx="30">
                  <c:v>3712</c:v>
                </c:pt>
                <c:pt idx="31">
                  <c:v>4042</c:v>
                </c:pt>
                <c:pt idx="32">
                  <c:v>4387</c:v>
                </c:pt>
                <c:pt idx="33">
                  <c:v>4748</c:v>
                </c:pt>
                <c:pt idx="34">
                  <c:v>5125</c:v>
                </c:pt>
                <c:pt idx="35">
                  <c:v>5519</c:v>
                </c:pt>
                <c:pt idx="36">
                  <c:v>5905</c:v>
                </c:pt>
                <c:pt idx="37">
                  <c:v>6283</c:v>
                </c:pt>
                <c:pt idx="38">
                  <c:v>6653</c:v>
                </c:pt>
                <c:pt idx="39">
                  <c:v>7015</c:v>
                </c:pt>
                <c:pt idx="40">
                  <c:v>7369</c:v>
                </c:pt>
                <c:pt idx="41">
                  <c:v>7715</c:v>
                </c:pt>
                <c:pt idx="42">
                  <c:v>8054</c:v>
                </c:pt>
                <c:pt idx="43">
                  <c:v>8386</c:v>
                </c:pt>
                <c:pt idx="44">
                  <c:v>8711</c:v>
                </c:pt>
                <c:pt idx="45">
                  <c:v>9029</c:v>
                </c:pt>
                <c:pt idx="46">
                  <c:v>9340</c:v>
                </c:pt>
                <c:pt idx="47">
                  <c:v>9644</c:v>
                </c:pt>
                <c:pt idx="48">
                  <c:v>9935</c:v>
                </c:pt>
                <c:pt idx="49">
                  <c:v>10214</c:v>
                </c:pt>
                <c:pt idx="50">
                  <c:v>10481</c:v>
                </c:pt>
                <c:pt idx="51">
                  <c:v>10737</c:v>
                </c:pt>
                <c:pt idx="52">
                  <c:v>10982</c:v>
                </c:pt>
                <c:pt idx="53">
                  <c:v>11217</c:v>
                </c:pt>
                <c:pt idx="54">
                  <c:v>11442</c:v>
                </c:pt>
                <c:pt idx="55">
                  <c:v>11658</c:v>
                </c:pt>
                <c:pt idx="56">
                  <c:v>11865</c:v>
                </c:pt>
                <c:pt idx="57">
                  <c:v>12063</c:v>
                </c:pt>
                <c:pt idx="58">
                  <c:v>12253</c:v>
                </c:pt>
                <c:pt idx="59">
                  <c:v>12435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D-40C4-91A2-004A7D1885A9}"/>
            </c:ext>
          </c:extLst>
        </c:ser>
        <c:ser>
          <c:idx val="3"/>
          <c:order val="2"/>
          <c:tx>
            <c:strRef>
              <c:f>Ventas!$A$20</c:f>
              <c:strCache>
                <c:ptCount val="1"/>
                <c:pt idx="0">
                  <c:v>Enterprise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Ventas!$B$16:$BI$16</c:f>
              <c:strCache>
                <c:ptCount val="60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MES 13</c:v>
                </c:pt>
                <c:pt idx="13">
                  <c:v>MES 14</c:v>
                </c:pt>
                <c:pt idx="14">
                  <c:v>MES 15</c:v>
                </c:pt>
                <c:pt idx="15">
                  <c:v>MES 16</c:v>
                </c:pt>
                <c:pt idx="16">
                  <c:v>MES 17</c:v>
                </c:pt>
                <c:pt idx="17">
                  <c:v>MES 18</c:v>
                </c:pt>
                <c:pt idx="18">
                  <c:v>MES 19</c:v>
                </c:pt>
                <c:pt idx="19">
                  <c:v>MES 20</c:v>
                </c:pt>
                <c:pt idx="20">
                  <c:v>MES 21</c:v>
                </c:pt>
                <c:pt idx="21">
                  <c:v>MES 22</c:v>
                </c:pt>
                <c:pt idx="22">
                  <c:v>MES 23</c:v>
                </c:pt>
                <c:pt idx="23">
                  <c:v>MES 24</c:v>
                </c:pt>
                <c:pt idx="24">
                  <c:v>MES 25</c:v>
                </c:pt>
                <c:pt idx="25">
                  <c:v>MES 26</c:v>
                </c:pt>
                <c:pt idx="26">
                  <c:v>MES 27</c:v>
                </c:pt>
                <c:pt idx="27">
                  <c:v>MES 28</c:v>
                </c:pt>
                <c:pt idx="28">
                  <c:v>MES 29</c:v>
                </c:pt>
                <c:pt idx="29">
                  <c:v>MES 30</c:v>
                </c:pt>
                <c:pt idx="30">
                  <c:v>MES 31</c:v>
                </c:pt>
                <c:pt idx="31">
                  <c:v>MES 32</c:v>
                </c:pt>
                <c:pt idx="32">
                  <c:v>MES 33</c:v>
                </c:pt>
                <c:pt idx="33">
                  <c:v>MES 34</c:v>
                </c:pt>
                <c:pt idx="34">
                  <c:v>MES 35</c:v>
                </c:pt>
                <c:pt idx="35">
                  <c:v>MES 36</c:v>
                </c:pt>
                <c:pt idx="36">
                  <c:v>MES 37</c:v>
                </c:pt>
                <c:pt idx="37">
                  <c:v>MES 38</c:v>
                </c:pt>
                <c:pt idx="38">
                  <c:v>MES 39</c:v>
                </c:pt>
                <c:pt idx="39">
                  <c:v>MES 40</c:v>
                </c:pt>
                <c:pt idx="40">
                  <c:v>MES 41</c:v>
                </c:pt>
                <c:pt idx="41">
                  <c:v>MES 42</c:v>
                </c:pt>
                <c:pt idx="42">
                  <c:v>MES 43</c:v>
                </c:pt>
                <c:pt idx="43">
                  <c:v>MES 44</c:v>
                </c:pt>
                <c:pt idx="44">
                  <c:v>MES 45</c:v>
                </c:pt>
                <c:pt idx="45">
                  <c:v>MES 46</c:v>
                </c:pt>
                <c:pt idx="46">
                  <c:v>MES 47</c:v>
                </c:pt>
                <c:pt idx="47">
                  <c:v>MES 48</c:v>
                </c:pt>
                <c:pt idx="48">
                  <c:v>MES 49</c:v>
                </c:pt>
                <c:pt idx="49">
                  <c:v>MES 50</c:v>
                </c:pt>
                <c:pt idx="50">
                  <c:v>MES 51</c:v>
                </c:pt>
                <c:pt idx="51">
                  <c:v>MES 52</c:v>
                </c:pt>
                <c:pt idx="52">
                  <c:v>MES 53</c:v>
                </c:pt>
                <c:pt idx="53">
                  <c:v>MES 54</c:v>
                </c:pt>
                <c:pt idx="54">
                  <c:v>MES 55</c:v>
                </c:pt>
                <c:pt idx="55">
                  <c:v>MES 56</c:v>
                </c:pt>
                <c:pt idx="56">
                  <c:v>MES 57</c:v>
                </c:pt>
                <c:pt idx="57">
                  <c:v>MES 58</c:v>
                </c:pt>
                <c:pt idx="58">
                  <c:v>MES 59</c:v>
                </c:pt>
                <c:pt idx="59">
                  <c:v>MES 60</c:v>
                </c:pt>
              </c:strCache>
            </c:strRef>
          </c:cat>
          <c:val>
            <c:numRef>
              <c:f>Ventas!$B$25:$BI$25</c:f>
              <c:numCache>
                <c:formatCode>_(* #,##0.00_);_(* \(#,##0.00\);_(* "-"??_);_(@_)</c:formatCode>
                <c:ptCount val="60"/>
                <c:pt idx="0">
                  <c:v>5</c:v>
                </c:pt>
                <c:pt idx="1">
                  <c:v>11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79</c:v>
                </c:pt>
                <c:pt idx="8">
                  <c:v>99</c:v>
                </c:pt>
                <c:pt idx="9">
                  <c:v>123</c:v>
                </c:pt>
                <c:pt idx="10">
                  <c:v>152</c:v>
                </c:pt>
                <c:pt idx="11">
                  <c:v>186</c:v>
                </c:pt>
                <c:pt idx="12">
                  <c:v>225</c:v>
                </c:pt>
                <c:pt idx="13">
                  <c:v>269</c:v>
                </c:pt>
                <c:pt idx="14">
                  <c:v>319</c:v>
                </c:pt>
                <c:pt idx="15">
                  <c:v>376</c:v>
                </c:pt>
                <c:pt idx="16">
                  <c:v>441</c:v>
                </c:pt>
                <c:pt idx="17">
                  <c:v>515</c:v>
                </c:pt>
                <c:pt idx="18">
                  <c:v>599</c:v>
                </c:pt>
                <c:pt idx="19">
                  <c:v>695</c:v>
                </c:pt>
                <c:pt idx="20">
                  <c:v>804</c:v>
                </c:pt>
                <c:pt idx="21">
                  <c:v>928</c:v>
                </c:pt>
                <c:pt idx="22">
                  <c:v>1069</c:v>
                </c:pt>
                <c:pt idx="23">
                  <c:v>1230</c:v>
                </c:pt>
                <c:pt idx="24">
                  <c:v>1398</c:v>
                </c:pt>
                <c:pt idx="25">
                  <c:v>1574</c:v>
                </c:pt>
                <c:pt idx="26">
                  <c:v>1758</c:v>
                </c:pt>
                <c:pt idx="27">
                  <c:v>1950</c:v>
                </c:pt>
                <c:pt idx="28">
                  <c:v>2151</c:v>
                </c:pt>
                <c:pt idx="29">
                  <c:v>2361</c:v>
                </c:pt>
                <c:pt idx="30">
                  <c:v>2580</c:v>
                </c:pt>
                <c:pt idx="31">
                  <c:v>2809</c:v>
                </c:pt>
                <c:pt idx="32">
                  <c:v>3048</c:v>
                </c:pt>
                <c:pt idx="33">
                  <c:v>3298</c:v>
                </c:pt>
                <c:pt idx="34">
                  <c:v>3559</c:v>
                </c:pt>
                <c:pt idx="35">
                  <c:v>3832</c:v>
                </c:pt>
                <c:pt idx="36">
                  <c:v>4099</c:v>
                </c:pt>
                <c:pt idx="37">
                  <c:v>4360</c:v>
                </c:pt>
                <c:pt idx="38">
                  <c:v>4615</c:v>
                </c:pt>
                <c:pt idx="39">
                  <c:v>4865</c:v>
                </c:pt>
                <c:pt idx="40">
                  <c:v>5110</c:v>
                </c:pt>
                <c:pt idx="41">
                  <c:v>5350</c:v>
                </c:pt>
                <c:pt idx="42">
                  <c:v>5585</c:v>
                </c:pt>
                <c:pt idx="43">
                  <c:v>5815</c:v>
                </c:pt>
                <c:pt idx="44">
                  <c:v>6040</c:v>
                </c:pt>
                <c:pt idx="45">
                  <c:v>6260</c:v>
                </c:pt>
                <c:pt idx="46">
                  <c:v>6475</c:v>
                </c:pt>
                <c:pt idx="47">
                  <c:v>6685</c:v>
                </c:pt>
                <c:pt idx="48">
                  <c:v>6886</c:v>
                </c:pt>
                <c:pt idx="49">
                  <c:v>7079</c:v>
                </c:pt>
                <c:pt idx="50">
                  <c:v>7264</c:v>
                </c:pt>
                <c:pt idx="51">
                  <c:v>7441</c:v>
                </c:pt>
                <c:pt idx="52">
                  <c:v>7611</c:v>
                </c:pt>
                <c:pt idx="53">
                  <c:v>7774</c:v>
                </c:pt>
                <c:pt idx="54">
                  <c:v>7930</c:v>
                </c:pt>
                <c:pt idx="55">
                  <c:v>8080</c:v>
                </c:pt>
                <c:pt idx="56">
                  <c:v>8224</c:v>
                </c:pt>
                <c:pt idx="57">
                  <c:v>8362</c:v>
                </c:pt>
                <c:pt idx="58">
                  <c:v>8494</c:v>
                </c:pt>
                <c:pt idx="59">
                  <c:v>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BEFD-40C4-91A2-004A7D188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007808"/>
        <c:axId val="1702006560"/>
      </c:lineChart>
      <c:catAx>
        <c:axId val="1332409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2311535"/>
        <c:crosses val="autoZero"/>
        <c:auto val="1"/>
        <c:lblAlgn val="ctr"/>
        <c:lblOffset val="100"/>
        <c:noMultiLvlLbl val="0"/>
      </c:catAx>
      <c:valAx>
        <c:axId val="120231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2409759"/>
        <c:crosses val="autoZero"/>
        <c:crossBetween val="between"/>
      </c:valAx>
      <c:valAx>
        <c:axId val="170200656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2007808"/>
        <c:crosses val="max"/>
        <c:crossBetween val="between"/>
      </c:valAx>
      <c:catAx>
        <c:axId val="170200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200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443947</xdr:colOff>
      <xdr:row>31</xdr:row>
      <xdr:rowOff>33128</xdr:rowOff>
    </xdr:from>
    <xdr:to>
      <xdr:col>11</xdr:col>
      <xdr:colOff>523459</xdr:colOff>
      <xdr:row>51</xdr:row>
      <xdr:rowOff>59635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09F60D-FE71-4C1D-88C3-924B0EA387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C7AC-0127-493B-A45D-CB5BD1A1B101}">
  <sheetPr>
    <tabColor rgb="FFFFC000"/>
  </sheetPr>
  <dimension ref="A1:BJ21"/>
  <sheetViews>
    <sheetView zoomScale="112" workbookViewId="0">
      <selection activeCell="AD37" sqref="AD37"/>
    </sheetView>
  </sheetViews>
  <sheetFormatPr baseColWidth="10" defaultColWidth="8.85546875" defaultRowHeight="15"/>
  <cols>
    <col min="1" max="1" width="25.42578125" bestFit="1" customWidth="1"/>
    <col min="2" max="22" width="17.85546875" bestFit="1" customWidth="1"/>
    <col min="23" max="24" width="16.7109375" bestFit="1" customWidth="1"/>
    <col min="25" max="29" width="17" bestFit="1" customWidth="1"/>
    <col min="30" max="42" width="18.140625" bestFit="1" customWidth="1"/>
    <col min="43" max="59" width="19.85546875" bestFit="1" customWidth="1"/>
    <col min="60" max="62" width="20.85546875" bestFit="1" customWidth="1"/>
  </cols>
  <sheetData>
    <row r="1" spans="1:62" ht="15.75" thickBot="1">
      <c r="B1" s="96" t="s">
        <v>191</v>
      </c>
      <c r="C1" s="96" t="s">
        <v>39</v>
      </c>
      <c r="D1" s="60" t="s">
        <v>40</v>
      </c>
      <c r="E1" s="60" t="s">
        <v>41</v>
      </c>
      <c r="F1" s="60" t="s">
        <v>42</v>
      </c>
      <c r="G1" s="60" t="s">
        <v>43</v>
      </c>
      <c r="H1" s="60" t="s">
        <v>44</v>
      </c>
      <c r="I1" s="60" t="s">
        <v>45</v>
      </c>
      <c r="J1" s="60" t="s">
        <v>46</v>
      </c>
      <c r="K1" s="60" t="s">
        <v>47</v>
      </c>
      <c r="L1" s="60" t="s">
        <v>48</v>
      </c>
      <c r="M1" s="60" t="s">
        <v>49</v>
      </c>
      <c r="N1" s="60" t="s">
        <v>50</v>
      </c>
      <c r="O1" s="60" t="s">
        <v>61</v>
      </c>
      <c r="P1" s="60" t="s">
        <v>62</v>
      </c>
      <c r="Q1" s="60" t="s">
        <v>63</v>
      </c>
      <c r="R1" s="60" t="s">
        <v>64</v>
      </c>
      <c r="S1" s="60" t="s">
        <v>65</v>
      </c>
      <c r="T1" s="60" t="s">
        <v>66</v>
      </c>
      <c r="U1" s="60" t="s">
        <v>67</v>
      </c>
      <c r="V1" s="60" t="s">
        <v>68</v>
      </c>
      <c r="W1" s="60" t="s">
        <v>69</v>
      </c>
      <c r="X1" s="60" t="s">
        <v>70</v>
      </c>
      <c r="Y1" s="60" t="s">
        <v>71</v>
      </c>
      <c r="Z1" s="60" t="s">
        <v>72</v>
      </c>
      <c r="AA1" s="60" t="s">
        <v>73</v>
      </c>
      <c r="AB1" s="60" t="s">
        <v>74</v>
      </c>
      <c r="AC1" s="60" t="s">
        <v>75</v>
      </c>
      <c r="AD1" s="60" t="s">
        <v>76</v>
      </c>
      <c r="AE1" s="60" t="s">
        <v>77</v>
      </c>
      <c r="AF1" s="60" t="s">
        <v>78</v>
      </c>
      <c r="AG1" s="60" t="s">
        <v>79</v>
      </c>
      <c r="AH1" s="60" t="s">
        <v>80</v>
      </c>
      <c r="AI1" s="60" t="s">
        <v>81</v>
      </c>
      <c r="AJ1" s="60" t="s">
        <v>82</v>
      </c>
      <c r="AK1" s="60" t="s">
        <v>83</v>
      </c>
      <c r="AL1" s="60" t="s">
        <v>84</v>
      </c>
      <c r="AM1" s="60" t="s">
        <v>85</v>
      </c>
      <c r="AN1" s="60" t="s">
        <v>86</v>
      </c>
      <c r="AO1" s="60" t="s">
        <v>87</v>
      </c>
      <c r="AP1" s="60" t="s">
        <v>88</v>
      </c>
      <c r="AQ1" s="60" t="s">
        <v>89</v>
      </c>
      <c r="AR1" s="60" t="s">
        <v>90</v>
      </c>
      <c r="AS1" s="60" t="s">
        <v>91</v>
      </c>
      <c r="AT1" s="60" t="s">
        <v>92</v>
      </c>
      <c r="AU1" s="60" t="s">
        <v>93</v>
      </c>
      <c r="AV1" s="60" t="s">
        <v>94</v>
      </c>
      <c r="AW1" s="60" t="s">
        <v>95</v>
      </c>
      <c r="AX1" s="60" t="s">
        <v>96</v>
      </c>
      <c r="AY1" s="60" t="s">
        <v>97</v>
      </c>
      <c r="AZ1" s="60" t="s">
        <v>98</v>
      </c>
      <c r="BA1" s="60" t="s">
        <v>99</v>
      </c>
      <c r="BB1" s="60" t="s">
        <v>100</v>
      </c>
      <c r="BC1" s="60" t="s">
        <v>101</v>
      </c>
      <c r="BD1" s="60" t="s">
        <v>102</v>
      </c>
      <c r="BE1" s="60" t="s">
        <v>103</v>
      </c>
      <c r="BF1" s="60" t="s">
        <v>104</v>
      </c>
      <c r="BG1" s="60" t="s">
        <v>105</v>
      </c>
      <c r="BH1" s="60" t="s">
        <v>106</v>
      </c>
      <c r="BI1" s="60" t="s">
        <v>107</v>
      </c>
      <c r="BJ1" s="61" t="s">
        <v>108</v>
      </c>
    </row>
    <row r="2" spans="1:62">
      <c r="A2" s="26" t="s">
        <v>6</v>
      </c>
      <c r="B2" s="26">
        <v>0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6">
        <v>31</v>
      </c>
      <c r="AH2" s="26">
        <v>32</v>
      </c>
      <c r="AI2" s="26">
        <v>33</v>
      </c>
      <c r="AJ2" s="26">
        <v>34</v>
      </c>
      <c r="AK2" s="26">
        <v>35</v>
      </c>
      <c r="AL2" s="26">
        <v>36</v>
      </c>
      <c r="AM2" s="26">
        <v>37</v>
      </c>
      <c r="AN2" s="26">
        <v>38</v>
      </c>
      <c r="AO2" s="26">
        <v>39</v>
      </c>
      <c r="AP2" s="26">
        <v>40</v>
      </c>
      <c r="AQ2" s="26">
        <v>41</v>
      </c>
      <c r="AR2" s="26">
        <v>42</v>
      </c>
      <c r="AS2" s="26">
        <v>43</v>
      </c>
      <c r="AT2" s="26">
        <v>44</v>
      </c>
      <c r="AU2" s="26">
        <v>45</v>
      </c>
      <c r="AV2" s="26">
        <v>46</v>
      </c>
      <c r="AW2" s="26">
        <v>47</v>
      </c>
      <c r="AX2" s="26">
        <v>48</v>
      </c>
      <c r="AY2" s="26">
        <v>49</v>
      </c>
      <c r="AZ2" s="26">
        <v>50</v>
      </c>
      <c r="BA2" s="26">
        <v>51</v>
      </c>
      <c r="BB2" s="26">
        <v>52</v>
      </c>
      <c r="BC2" s="26">
        <v>53</v>
      </c>
      <c r="BD2" s="26">
        <v>54</v>
      </c>
      <c r="BE2" s="26">
        <v>55</v>
      </c>
      <c r="BF2" s="26">
        <v>56</v>
      </c>
      <c r="BG2" s="26">
        <v>57</v>
      </c>
      <c r="BH2" s="26">
        <v>58</v>
      </c>
      <c r="BI2" s="26">
        <v>59</v>
      </c>
      <c r="BJ2" s="26">
        <v>60</v>
      </c>
    </row>
    <row r="3" spans="1:62">
      <c r="A3" t="s">
        <v>15</v>
      </c>
      <c r="B3" s="43">
        <v>0</v>
      </c>
      <c r="C3" s="43">
        <f>+'Estado de Resultados'!B34</f>
        <v>-57221.546666666669</v>
      </c>
      <c r="D3" s="43">
        <f>+'Estado de Resultados'!C34</f>
        <v>-55443.251666666671</v>
      </c>
      <c r="E3" s="43">
        <f>+'Estado de Resultados'!D34</f>
        <v>-53252.511666666673</v>
      </c>
      <c r="F3" s="43">
        <f>+'Estado de Resultados'!E34</f>
        <v>-50679.036666666674</v>
      </c>
      <c r="G3" s="43">
        <f>+'Estado de Resultados'!F34</f>
        <v>-47577.076666666668</v>
      </c>
      <c r="H3" s="43">
        <f>+'Estado de Resultados'!G34</f>
        <v>-43834.936666666668</v>
      </c>
      <c r="I3" s="43">
        <f>+'Estado de Resultados'!H34</f>
        <v>-39438.741666666669</v>
      </c>
      <c r="J3" s="43">
        <f>+'Estado de Resultados'!I34</f>
        <v>-34145.481666666667</v>
      </c>
      <c r="K3" s="43">
        <f>+'Estado de Resultados'!J34</f>
        <v>-27829.306666666671</v>
      </c>
      <c r="L3" s="43">
        <f>+'Estado de Resultados'!K34</f>
        <v>-20345.026666666672</v>
      </c>
      <c r="M3" s="43">
        <f>+'Estado de Resultados'!L34</f>
        <v>-11420.761666666675</v>
      </c>
      <c r="N3" s="43">
        <f>+'Estado de Resultados'!M34</f>
        <v>-881.13665406400969</v>
      </c>
      <c r="O3" s="43">
        <f>+'Estado de Resultados'!N34</f>
        <v>-451.1779205344028</v>
      </c>
      <c r="P3" s="43">
        <f>+'Estado de Resultados'!O34</f>
        <v>16674.328193891</v>
      </c>
      <c r="Q3" s="43">
        <f>+'Estado de Resultados'!P34</f>
        <v>36245.833605695603</v>
      </c>
      <c r="R3" s="43">
        <f>+'Estado de Resultados'!Q34</f>
        <v>20804.440082264002</v>
      </c>
      <c r="S3" s="43">
        <f>+'Estado de Resultados'!R34</f>
        <v>39675.5905617182</v>
      </c>
      <c r="T3" s="43">
        <f>+'Estado de Resultados'!S34</f>
        <v>61236.050453274802</v>
      </c>
      <c r="U3" s="43">
        <f>+'Estado de Resultados'!T34</f>
        <v>85861.418104887809</v>
      </c>
      <c r="V3" s="43">
        <f>+'Estado de Resultados'!U34</f>
        <v>96417.5666513264</v>
      </c>
      <c r="W3" s="43">
        <f>+'Estado de Resultados'!V34</f>
        <v>125746.15863601936</v>
      </c>
      <c r="X3" s="43">
        <f>+'Estado de Resultados'!W34</f>
        <v>159265.8030270428</v>
      </c>
      <c r="Y3" s="43">
        <f>+'Estado de Resultados'!X34</f>
        <v>197554.67755047261</v>
      </c>
      <c r="Z3" s="43">
        <f>+'Estado de Resultados'!Y34</f>
        <v>245871.36579768924</v>
      </c>
      <c r="AA3" s="43">
        <f>+'Estado de Resultados'!Z34</f>
        <v>531076.08624189626</v>
      </c>
      <c r="AB3" s="43">
        <f>+'Estado de Resultados'!AA34</f>
        <v>613793.92572311207</v>
      </c>
      <c r="AC3" s="43">
        <f>+'Estado de Resultados'!AB34</f>
        <v>700970.32927486335</v>
      </c>
      <c r="AD3" s="43">
        <f>+'Estado de Resultados'!AC34</f>
        <v>792965.41198639374</v>
      </c>
      <c r="AE3" s="43">
        <f>+'Estado de Resultados'!AD34</f>
        <v>890203.8030481562</v>
      </c>
      <c r="AF3" s="43">
        <f>+'Estado de Resultados'!AE34</f>
        <v>993126.93536716257</v>
      </c>
      <c r="AG3" s="43">
        <f>+'Estado de Resultados'!AF34</f>
        <v>1102236.2549896732</v>
      </c>
      <c r="AH3" s="43">
        <f>+'Estado de Resultados'!AG34</f>
        <v>1218111.3432434087</v>
      </c>
      <c r="AI3" s="43">
        <f>+'Estado de Resultados'!AH34</f>
        <v>1341378.4462575831</v>
      </c>
      <c r="AJ3" s="43">
        <f>+'Estado de Resultados'!AI34</f>
        <v>1472948.5632417509</v>
      </c>
      <c r="AK3" s="43">
        <f>+'Estado de Resultados'!AJ34</f>
        <v>1613472.2367380611</v>
      </c>
      <c r="AL3" s="43">
        <f>+'Estado de Resultados'!AK34</f>
        <v>1796888.0928599888</v>
      </c>
      <c r="AM3" s="43">
        <f>+'Estado de Resultados'!AL34</f>
        <v>3504104.7191561288</v>
      </c>
      <c r="AN3" s="43">
        <f>+'Estado de Resultados'!AM34</f>
        <v>3764210.575981244</v>
      </c>
      <c r="AO3" s="43">
        <f>+'Estado de Resultados'!AN34</f>
        <v>4027899.7111673383</v>
      </c>
      <c r="AP3" s="43">
        <f>+'Estado de Resultados'!AO34</f>
        <v>4297084.1134488396</v>
      </c>
      <c r="AQ3" s="43">
        <f>+'Estado de Resultados'!AP34</f>
        <v>4573623.9542224053</v>
      </c>
      <c r="AR3" s="43">
        <f>+'Estado de Resultados'!AQ34</f>
        <v>4859717.0620117998</v>
      </c>
      <c r="AS3" s="43">
        <f>+'Estado de Resultados'!AR34</f>
        <v>5149032.3465863913</v>
      </c>
      <c r="AT3" s="43">
        <f>+'Estado de Resultados'!AS34</f>
        <v>5463200.889720263</v>
      </c>
      <c r="AU3" s="43">
        <f>+'Estado de Resultados'!AT34</f>
        <v>5796650.9546831781</v>
      </c>
      <c r="AV3" s="43">
        <f>+'Estado de Resultados'!AU34</f>
        <v>6153755.6089504054</v>
      </c>
      <c r="AW3" s="43">
        <f>+'Estado de Resultados'!AV34</f>
        <v>6539708.6744558718</v>
      </c>
      <c r="AX3" s="43">
        <f>+'Estado de Resultados'!AW34</f>
        <v>7090198.5367961386</v>
      </c>
      <c r="AY3" s="43">
        <f>+'Estado de Resultados'!AX34</f>
        <v>12864903.50319694</v>
      </c>
      <c r="AZ3" s="43">
        <f>+'Estado de Resultados'!AY34</f>
        <v>13531482.440156281</v>
      </c>
      <c r="BA3" s="43">
        <f>+'Estado de Resultados'!AZ34</f>
        <v>14251515.481324218</v>
      </c>
      <c r="BB3" s="43">
        <f>+'Estado de Resultados'!BA34</f>
        <v>15038147.733097453</v>
      </c>
      <c r="BC3" s="43">
        <f>+'Estado de Resultados'!BB34</f>
        <v>15906899.489734069</v>
      </c>
      <c r="BD3" s="43">
        <f>+'Estado de Resultados'!BC34</f>
        <v>16876037.344018795</v>
      </c>
      <c r="BE3" s="43">
        <f>+'Estado de Resultados'!BD34</f>
        <v>17966484.711737692</v>
      </c>
      <c r="BF3" s="43">
        <f>+'Estado de Resultados'!BE34</f>
        <v>19204406.095402431</v>
      </c>
      <c r="BG3" s="43">
        <f>+'Estado de Resultados'!BF34</f>
        <v>20619304.182578612</v>
      </c>
      <c r="BH3" s="43">
        <f>+'Estado de Resultados'!BG34</f>
        <v>22246226.487704471</v>
      </c>
      <c r="BI3" s="43">
        <f>+'Estado de Resultados'!BH34</f>
        <v>24127421.380198214</v>
      </c>
      <c r="BJ3" s="43">
        <f>+'Estado de Resultados'!BI34</f>
        <v>26801890.871027458</v>
      </c>
    </row>
    <row r="4" spans="1:62">
      <c r="A4" t="s">
        <v>130</v>
      </c>
      <c r="B4" s="115">
        <f>720000-283.005</f>
        <v>719716.995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f>+C4</f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f>+C4</f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f>+C4</f>
        <v>0</v>
      </c>
      <c r="AN4" s="43">
        <v>0</v>
      </c>
      <c r="AO4" s="43">
        <v>0</v>
      </c>
      <c r="AP4" s="43">
        <v>0</v>
      </c>
      <c r="AQ4" s="43">
        <v>0</v>
      </c>
      <c r="AR4" s="43">
        <v>0</v>
      </c>
      <c r="AS4" s="43">
        <v>0</v>
      </c>
      <c r="AT4" s="43">
        <v>0</v>
      </c>
      <c r="AU4" s="43">
        <v>0</v>
      </c>
      <c r="AV4" s="43">
        <v>0</v>
      </c>
      <c r="AW4" s="43">
        <v>0</v>
      </c>
      <c r="AX4" s="43">
        <v>0</v>
      </c>
      <c r="AY4" s="43">
        <f>+C4</f>
        <v>0</v>
      </c>
      <c r="AZ4" s="43">
        <v>0</v>
      </c>
      <c r="BA4" s="43">
        <v>0</v>
      </c>
      <c r="BB4" s="43">
        <v>0</v>
      </c>
      <c r="BC4" s="43">
        <v>0</v>
      </c>
      <c r="BD4" s="43">
        <v>0</v>
      </c>
      <c r="BE4" s="43">
        <v>0</v>
      </c>
      <c r="BF4" s="43">
        <v>0</v>
      </c>
      <c r="BG4" s="43">
        <v>0</v>
      </c>
      <c r="BH4" s="43">
        <v>0</v>
      </c>
      <c r="BI4" s="43">
        <v>0</v>
      </c>
      <c r="BJ4" s="43">
        <v>0</v>
      </c>
    </row>
    <row r="5" spans="1:62">
      <c r="A5" t="s">
        <v>9</v>
      </c>
      <c r="B5" s="43">
        <v>0</v>
      </c>
      <c r="C5" s="43">
        <f>-'Estado de Resultados'!B28</f>
        <v>329.84999999999997</v>
      </c>
      <c r="D5" s="43">
        <f>-'Estado de Resultados'!C28</f>
        <v>329.84999999999997</v>
      </c>
      <c r="E5" s="43">
        <f>-'Estado de Resultados'!D28</f>
        <v>329.84999999999997</v>
      </c>
      <c r="F5" s="43">
        <f>-'Estado de Resultados'!E28</f>
        <v>329.84999999999997</v>
      </c>
      <c r="G5" s="43">
        <f>-'Estado de Resultados'!F28</f>
        <v>329.84999999999997</v>
      </c>
      <c r="H5" s="43">
        <f>-'Estado de Resultados'!G28</f>
        <v>329.84999999999997</v>
      </c>
      <c r="I5" s="43">
        <f>-'Estado de Resultados'!H28</f>
        <v>329.84999999999997</v>
      </c>
      <c r="J5" s="43">
        <f>-'Estado de Resultados'!I28</f>
        <v>329.84999999999997</v>
      </c>
      <c r="K5" s="43">
        <f>-'Estado de Resultados'!J28</f>
        <v>329.84999999999997</v>
      </c>
      <c r="L5" s="43">
        <f>-'Estado de Resultados'!K28</f>
        <v>329.84999999999997</v>
      </c>
      <c r="M5" s="43">
        <f>-'Estado de Resultados'!L28</f>
        <v>329.84999999999997</v>
      </c>
      <c r="N5" s="43">
        <f>-'Estado de Resultados'!M28</f>
        <v>329.84999999999997</v>
      </c>
      <c r="O5" s="43">
        <f>-'Estado de Resultados'!N28</f>
        <v>0</v>
      </c>
      <c r="P5" s="43">
        <f>-'Estado de Resultados'!O28</f>
        <v>0</v>
      </c>
      <c r="Q5" s="43">
        <f>-'Estado de Resultados'!P28</f>
        <v>0</v>
      </c>
      <c r="R5" s="43">
        <f>-'Estado de Resultados'!Q28</f>
        <v>0</v>
      </c>
      <c r="S5" s="43">
        <f>-'Estado de Resultados'!R28</f>
        <v>0</v>
      </c>
      <c r="T5" s="43">
        <f>-'Estado de Resultados'!S28</f>
        <v>0</v>
      </c>
      <c r="U5" s="43">
        <f>-'Estado de Resultados'!T28</f>
        <v>0</v>
      </c>
      <c r="V5" s="43">
        <f>-'Estado de Resultados'!U28</f>
        <v>0</v>
      </c>
      <c r="W5" s="43">
        <f>-'Estado de Resultados'!V28</f>
        <v>0</v>
      </c>
      <c r="X5" s="43">
        <f>-'Estado de Resultados'!W28</f>
        <v>0</v>
      </c>
      <c r="Y5" s="43">
        <f>-'Estado de Resultados'!X28</f>
        <v>0</v>
      </c>
      <c r="Z5" s="43">
        <f>-'Estado de Resultados'!Y28</f>
        <v>0</v>
      </c>
      <c r="AA5" s="43">
        <f>-'Estado de Resultados'!Z28</f>
        <v>329.84999999999997</v>
      </c>
      <c r="AB5" s="43">
        <f>-'Estado de Resultados'!AA28</f>
        <v>329.84999999999997</v>
      </c>
      <c r="AC5" s="43">
        <f>-'Estado de Resultados'!AB28</f>
        <v>329.84999999999997</v>
      </c>
      <c r="AD5" s="43">
        <f>-'Estado de Resultados'!AC28</f>
        <v>329.84999999999997</v>
      </c>
      <c r="AE5" s="43">
        <f>-'Estado de Resultados'!AD28</f>
        <v>329.84999999999997</v>
      </c>
      <c r="AF5" s="43">
        <f>-'Estado de Resultados'!AE28</f>
        <v>329.84999999999997</v>
      </c>
      <c r="AG5" s="43">
        <f>-'Estado de Resultados'!AF28</f>
        <v>329.84999999999997</v>
      </c>
      <c r="AH5" s="43">
        <f>-'Estado de Resultados'!AG28</f>
        <v>329.84999999999997</v>
      </c>
      <c r="AI5" s="43">
        <f>-'Estado de Resultados'!AH28</f>
        <v>329.84999999999997</v>
      </c>
      <c r="AJ5" s="43">
        <f>-'Estado de Resultados'!AI28</f>
        <v>329.84999999999997</v>
      </c>
      <c r="AK5" s="43">
        <f>-'Estado de Resultados'!AJ28</f>
        <v>329.84999999999997</v>
      </c>
      <c r="AL5" s="43">
        <f>-'Estado de Resultados'!AK28</f>
        <v>329.84999999999997</v>
      </c>
      <c r="AM5" s="43">
        <f>-'Estado de Resultados'!AL28</f>
        <v>329.84999999999997</v>
      </c>
      <c r="AN5" s="43">
        <f>-'Estado de Resultados'!AM28</f>
        <v>329.84999999999997</v>
      </c>
      <c r="AO5" s="43">
        <f>-'Estado de Resultados'!AN28</f>
        <v>329.84999999999997</v>
      </c>
      <c r="AP5" s="43">
        <f>-'Estado de Resultados'!AO28</f>
        <v>329.84999999999997</v>
      </c>
      <c r="AQ5" s="43">
        <f>-'Estado de Resultados'!AP28</f>
        <v>329.84999999999997</v>
      </c>
      <c r="AR5" s="43">
        <f>-'Estado de Resultados'!AQ28</f>
        <v>329.84999999999997</v>
      </c>
      <c r="AS5" s="43">
        <f>-'Estado de Resultados'!AR28</f>
        <v>329.84999999999997</v>
      </c>
      <c r="AT5" s="43">
        <f>-'Estado de Resultados'!AS28</f>
        <v>329.84999999999997</v>
      </c>
      <c r="AU5" s="43">
        <f>-'Estado de Resultados'!AT28</f>
        <v>329.84999999999997</v>
      </c>
      <c r="AV5" s="43">
        <f>-'Estado de Resultados'!AU28</f>
        <v>329.84999999999997</v>
      </c>
      <c r="AW5" s="43">
        <f>-'Estado de Resultados'!AV28</f>
        <v>329.84999999999997</v>
      </c>
      <c r="AX5" s="43">
        <f>-'Estado de Resultados'!AW28</f>
        <v>329.84999999999997</v>
      </c>
      <c r="AY5" s="43">
        <f>-'Estado de Resultados'!AX28</f>
        <v>329.84999999999997</v>
      </c>
      <c r="AZ5" s="43">
        <f>-'Estado de Resultados'!AY28</f>
        <v>329.84999999999997</v>
      </c>
      <c r="BA5" s="43">
        <f>-'Estado de Resultados'!AZ28</f>
        <v>329.84999999999997</v>
      </c>
      <c r="BB5" s="43">
        <f>-'Estado de Resultados'!BA28</f>
        <v>329.84999999999997</v>
      </c>
      <c r="BC5" s="43">
        <f>-'Estado de Resultados'!BB28</f>
        <v>329.84999999999997</v>
      </c>
      <c r="BD5" s="43">
        <f>-'Estado de Resultados'!BC28</f>
        <v>329.84999999999997</v>
      </c>
      <c r="BE5" s="43">
        <f>-'Estado de Resultados'!BD28</f>
        <v>329.84999999999997</v>
      </c>
      <c r="BF5" s="43">
        <f>-'Estado de Resultados'!BE28</f>
        <v>329.84999999999997</v>
      </c>
      <c r="BG5" s="43">
        <f>-'Estado de Resultados'!BF28</f>
        <v>329.84999999999997</v>
      </c>
      <c r="BH5" s="43">
        <f>-'Estado de Resultados'!BG28</f>
        <v>329.84999999999997</v>
      </c>
      <c r="BI5" s="43">
        <f>-'Estado de Resultados'!BH28</f>
        <v>329.84999999999997</v>
      </c>
      <c r="BJ5" s="43">
        <f>-'Estado de Resultados'!BI28</f>
        <v>329.84999999999997</v>
      </c>
    </row>
    <row r="6" spans="1:62" ht="15.75" thickBot="1">
      <c r="A6" t="s">
        <v>23</v>
      </c>
      <c r="B6" s="43">
        <v>0</v>
      </c>
      <c r="C6" s="43">
        <f>+'Estado de Resultados'!B30</f>
        <v>0</v>
      </c>
      <c r="D6" s="43">
        <f>+'Estado de Resultados'!C30</f>
        <v>0</v>
      </c>
      <c r="E6" s="43">
        <f>+'Estado de Resultados'!D30</f>
        <v>0</v>
      </c>
      <c r="F6" s="43">
        <f>+'Estado de Resultados'!E30</f>
        <v>0</v>
      </c>
      <c r="G6" s="43">
        <f>+'Estado de Resultados'!F30</f>
        <v>0</v>
      </c>
      <c r="H6" s="43">
        <f>+'Estado de Resultados'!G30</f>
        <v>0</v>
      </c>
      <c r="I6" s="43">
        <f>+'Estado de Resultados'!H30</f>
        <v>0</v>
      </c>
      <c r="J6" s="43">
        <f>+'Estado de Resultados'!I30</f>
        <v>0</v>
      </c>
      <c r="K6" s="43">
        <f>+'Estado de Resultados'!J30</f>
        <v>0</v>
      </c>
      <c r="L6" s="43">
        <f>+'Estado de Resultados'!K30</f>
        <v>0</v>
      </c>
      <c r="M6" s="43">
        <f>+'Estado de Resultados'!L30</f>
        <v>0</v>
      </c>
      <c r="N6" s="43">
        <f>+'Estado de Resultados'!M30</f>
        <v>0</v>
      </c>
      <c r="O6" s="43">
        <f>+'Estado de Resultados'!N30</f>
        <v>0</v>
      </c>
      <c r="P6" s="43">
        <f>+'Estado de Resultados'!O30</f>
        <v>0</v>
      </c>
      <c r="Q6" s="43">
        <f>+'Estado de Resultados'!P30</f>
        <v>0</v>
      </c>
      <c r="R6" s="43">
        <f>+'Estado de Resultados'!Q30</f>
        <v>0</v>
      </c>
      <c r="S6" s="43">
        <f>+'Estado de Resultados'!R30</f>
        <v>0</v>
      </c>
      <c r="T6" s="43">
        <f>+'Estado de Resultados'!S30</f>
        <v>0</v>
      </c>
      <c r="U6" s="43">
        <f>+'Estado de Resultados'!T30</f>
        <v>0</v>
      </c>
      <c r="V6" s="43">
        <f>+'Estado de Resultados'!U30</f>
        <v>0</v>
      </c>
      <c r="W6" s="43">
        <f>+'Estado de Resultados'!V30</f>
        <v>0</v>
      </c>
      <c r="X6" s="43">
        <f>+'Estado de Resultados'!W30</f>
        <v>0</v>
      </c>
      <c r="Y6" s="43">
        <f>+'Estado de Resultados'!X30</f>
        <v>0</v>
      </c>
      <c r="Z6" s="43">
        <f>+'Estado de Resultados'!Y30</f>
        <v>0</v>
      </c>
      <c r="AA6" s="43">
        <f>+'Estado de Resultados'!Z30</f>
        <v>0</v>
      </c>
      <c r="AB6" s="43">
        <f>+'Estado de Resultados'!AA30</f>
        <v>0</v>
      </c>
      <c r="AC6" s="43">
        <f>+'Estado de Resultados'!AB30</f>
        <v>0</v>
      </c>
      <c r="AD6" s="43">
        <f>+'Estado de Resultados'!AC30</f>
        <v>0</v>
      </c>
      <c r="AE6" s="43">
        <f>+'Estado de Resultados'!AD30</f>
        <v>0</v>
      </c>
      <c r="AF6" s="43">
        <f>+'Estado de Resultados'!AE30</f>
        <v>0</v>
      </c>
      <c r="AG6" s="43">
        <f>+'Estado de Resultados'!AF30</f>
        <v>0</v>
      </c>
      <c r="AH6" s="43">
        <f>+'Estado de Resultados'!AG30</f>
        <v>0</v>
      </c>
      <c r="AI6" s="43">
        <f>+'Estado de Resultados'!AH30</f>
        <v>0</v>
      </c>
      <c r="AJ6" s="43">
        <f>+'Estado de Resultados'!AI30</f>
        <v>0</v>
      </c>
      <c r="AK6" s="43">
        <f>+'Estado de Resultados'!AJ30</f>
        <v>0</v>
      </c>
      <c r="AL6" s="43">
        <f>+'Estado de Resultados'!AK30</f>
        <v>0</v>
      </c>
      <c r="AM6" s="43">
        <f>+'Estado de Resultados'!AL30</f>
        <v>0</v>
      </c>
      <c r="AN6" s="43">
        <f>+'Estado de Resultados'!AM30</f>
        <v>0</v>
      </c>
      <c r="AO6" s="43">
        <f>+'Estado de Resultados'!AN30</f>
        <v>0</v>
      </c>
      <c r="AP6" s="43">
        <f>+'Estado de Resultados'!AO30</f>
        <v>0</v>
      </c>
      <c r="AQ6" s="43">
        <f>+'Estado de Resultados'!AP30</f>
        <v>0</v>
      </c>
      <c r="AR6" s="43">
        <f>+'Estado de Resultados'!AQ30</f>
        <v>0</v>
      </c>
      <c r="AS6" s="43">
        <f>+'Estado de Resultados'!AR30</f>
        <v>0</v>
      </c>
      <c r="AT6" s="43">
        <f>+'Estado de Resultados'!AS30</f>
        <v>0</v>
      </c>
      <c r="AU6" s="43">
        <f>+'Estado de Resultados'!AT30</f>
        <v>0</v>
      </c>
      <c r="AV6" s="43">
        <f>+'Estado de Resultados'!AU30</f>
        <v>0</v>
      </c>
      <c r="AW6" s="43">
        <f>+'Estado de Resultados'!AV30</f>
        <v>0</v>
      </c>
      <c r="AX6" s="43">
        <f>+'Estado de Resultados'!AW30</f>
        <v>0</v>
      </c>
      <c r="AY6" s="43">
        <f>+'Estado de Resultados'!AX30</f>
        <v>0</v>
      </c>
      <c r="AZ6" s="43">
        <f>+'Estado de Resultados'!AY30</f>
        <v>0</v>
      </c>
      <c r="BA6" s="43">
        <f>+'Estado de Resultados'!AZ30</f>
        <v>0</v>
      </c>
      <c r="BB6" s="43">
        <f>+'Estado de Resultados'!BA30</f>
        <v>0</v>
      </c>
      <c r="BC6" s="43">
        <f>+'Estado de Resultados'!BB30</f>
        <v>0</v>
      </c>
      <c r="BD6" s="43">
        <f>+'Estado de Resultados'!BC30</f>
        <v>0</v>
      </c>
      <c r="BE6" s="43">
        <f>+'Estado de Resultados'!BD30</f>
        <v>0</v>
      </c>
      <c r="BF6" s="43">
        <f>+'Estado de Resultados'!BE30</f>
        <v>0</v>
      </c>
      <c r="BG6" s="43">
        <f>+'Estado de Resultados'!BF30</f>
        <v>0</v>
      </c>
      <c r="BH6" s="43">
        <f>+'Estado de Resultados'!BG30</f>
        <v>0</v>
      </c>
      <c r="BI6" s="43">
        <f>+'Estado de Resultados'!BH30</f>
        <v>0</v>
      </c>
      <c r="BJ6" s="43">
        <f>+'Estado de Resultados'!BI30</f>
        <v>0</v>
      </c>
    </row>
    <row r="7" spans="1:62" ht="15.75" thickBot="1">
      <c r="A7" s="24" t="s">
        <v>24</v>
      </c>
      <c r="B7" s="42">
        <f>+SUM(B3:B6)</f>
        <v>719716.995</v>
      </c>
      <c r="C7" s="42">
        <f>+SUM(C3:C6)</f>
        <v>-56891.69666666667</v>
      </c>
      <c r="D7" s="42">
        <f t="shared" ref="D7:BJ7" si="0">+SUM(D3:D6)</f>
        <v>-55113.401666666672</v>
      </c>
      <c r="E7" s="42">
        <f t="shared" si="0"/>
        <v>-52922.661666666674</v>
      </c>
      <c r="F7" s="42">
        <f t="shared" si="0"/>
        <v>-50349.186666666676</v>
      </c>
      <c r="G7" s="42">
        <f t="shared" si="0"/>
        <v>-47247.226666666669</v>
      </c>
      <c r="H7" s="42">
        <f t="shared" si="0"/>
        <v>-43505.08666666667</v>
      </c>
      <c r="I7" s="42">
        <f t="shared" si="0"/>
        <v>-39108.89166666667</v>
      </c>
      <c r="J7" s="42">
        <f t="shared" si="0"/>
        <v>-33815.631666666668</v>
      </c>
      <c r="K7" s="42">
        <f t="shared" si="0"/>
        <v>-27499.456666666672</v>
      </c>
      <c r="L7" s="42">
        <f t="shared" si="0"/>
        <v>-20015.176666666674</v>
      </c>
      <c r="M7" s="42">
        <f t="shared" si="0"/>
        <v>-11090.911666666674</v>
      </c>
      <c r="N7" s="42">
        <f t="shared" si="0"/>
        <v>-551.28665406400978</v>
      </c>
      <c r="O7" s="42">
        <f t="shared" si="0"/>
        <v>-451.1779205344028</v>
      </c>
      <c r="P7" s="42">
        <f t="shared" si="0"/>
        <v>16674.328193891</v>
      </c>
      <c r="Q7" s="42">
        <f t="shared" si="0"/>
        <v>36245.833605695603</v>
      </c>
      <c r="R7" s="42">
        <f t="shared" si="0"/>
        <v>20804.440082264002</v>
      </c>
      <c r="S7" s="42">
        <f t="shared" si="0"/>
        <v>39675.5905617182</v>
      </c>
      <c r="T7" s="42">
        <f t="shared" si="0"/>
        <v>61236.050453274802</v>
      </c>
      <c r="U7" s="42">
        <f t="shared" si="0"/>
        <v>85861.418104887809</v>
      </c>
      <c r="V7" s="42">
        <f t="shared" si="0"/>
        <v>96417.5666513264</v>
      </c>
      <c r="W7" s="42">
        <f t="shared" si="0"/>
        <v>125746.15863601936</v>
      </c>
      <c r="X7" s="42">
        <f t="shared" si="0"/>
        <v>159265.8030270428</v>
      </c>
      <c r="Y7" s="42">
        <f t="shared" si="0"/>
        <v>197554.67755047261</v>
      </c>
      <c r="Z7" s="42">
        <f t="shared" si="0"/>
        <v>245871.36579768924</v>
      </c>
      <c r="AA7" s="42">
        <f t="shared" si="0"/>
        <v>531405.93624189624</v>
      </c>
      <c r="AB7" s="42">
        <f t="shared" si="0"/>
        <v>614123.77572311205</v>
      </c>
      <c r="AC7" s="42">
        <f t="shared" si="0"/>
        <v>701300.17927486333</v>
      </c>
      <c r="AD7" s="42">
        <f t="shared" si="0"/>
        <v>793295.26198639371</v>
      </c>
      <c r="AE7" s="42">
        <f t="shared" si="0"/>
        <v>890533.65304815618</v>
      </c>
      <c r="AF7" s="42">
        <f t="shared" si="0"/>
        <v>993456.78536716255</v>
      </c>
      <c r="AG7" s="42">
        <f t="shared" si="0"/>
        <v>1102566.1049896732</v>
      </c>
      <c r="AH7" s="42">
        <f t="shared" si="0"/>
        <v>1218441.1932434088</v>
      </c>
      <c r="AI7" s="42">
        <f t="shared" si="0"/>
        <v>1341708.2962575832</v>
      </c>
      <c r="AJ7" s="42">
        <f t="shared" si="0"/>
        <v>1473278.413241751</v>
      </c>
      <c r="AK7" s="42">
        <f t="shared" si="0"/>
        <v>1613802.0867380612</v>
      </c>
      <c r="AL7" s="42">
        <f t="shared" si="0"/>
        <v>1797217.9428599889</v>
      </c>
      <c r="AM7" s="42">
        <f t="shared" si="0"/>
        <v>3504434.5691561289</v>
      </c>
      <c r="AN7" s="42">
        <f t="shared" si="0"/>
        <v>3764540.4259812441</v>
      </c>
      <c r="AO7" s="42">
        <f t="shared" si="0"/>
        <v>4028229.5611673384</v>
      </c>
      <c r="AP7" s="42">
        <f t="shared" si="0"/>
        <v>4297413.9634488393</v>
      </c>
      <c r="AQ7" s="42">
        <f t="shared" si="0"/>
        <v>4573953.804222405</v>
      </c>
      <c r="AR7" s="42">
        <f t="shared" si="0"/>
        <v>4860046.9120117994</v>
      </c>
      <c r="AS7" s="42">
        <f t="shared" si="0"/>
        <v>5149362.196586391</v>
      </c>
      <c r="AT7" s="42">
        <f t="shared" si="0"/>
        <v>5463530.7397202626</v>
      </c>
      <c r="AU7" s="42">
        <f t="shared" si="0"/>
        <v>5796980.8046831777</v>
      </c>
      <c r="AV7" s="42">
        <f t="shared" si="0"/>
        <v>6154085.458950405</v>
      </c>
      <c r="AW7" s="42">
        <f t="shared" si="0"/>
        <v>6540038.5244558714</v>
      </c>
      <c r="AX7" s="42">
        <f t="shared" si="0"/>
        <v>7090528.3867961382</v>
      </c>
      <c r="AY7" s="42">
        <f t="shared" si="0"/>
        <v>12865233.353196939</v>
      </c>
      <c r="AZ7" s="42">
        <f t="shared" si="0"/>
        <v>13531812.290156281</v>
      </c>
      <c r="BA7" s="42">
        <f t="shared" si="0"/>
        <v>14251845.331324218</v>
      </c>
      <c r="BB7" s="42">
        <f t="shared" si="0"/>
        <v>15038477.583097452</v>
      </c>
      <c r="BC7" s="42">
        <f t="shared" si="0"/>
        <v>15907229.339734068</v>
      </c>
      <c r="BD7" s="42">
        <f t="shared" si="0"/>
        <v>16876367.194018796</v>
      </c>
      <c r="BE7" s="42">
        <f t="shared" si="0"/>
        <v>17966814.561737694</v>
      </c>
      <c r="BF7" s="42">
        <f t="shared" si="0"/>
        <v>19204735.945402432</v>
      </c>
      <c r="BG7" s="42">
        <f t="shared" si="0"/>
        <v>20619634.032578614</v>
      </c>
      <c r="BH7" s="42">
        <f t="shared" si="0"/>
        <v>22246556.337704472</v>
      </c>
      <c r="BI7" s="42">
        <f t="shared" si="0"/>
        <v>24127751.230198216</v>
      </c>
      <c r="BJ7" s="42">
        <f t="shared" si="0"/>
        <v>26802220.72102746</v>
      </c>
    </row>
    <row r="8" spans="1:62">
      <c r="A8" s="9" t="s">
        <v>201</v>
      </c>
      <c r="B8" s="43">
        <f>+Inversión!B13</f>
        <v>185000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</row>
    <row r="9" spans="1:62">
      <c r="A9" s="146" t="s">
        <v>200</v>
      </c>
      <c r="B9" s="43">
        <f>+'BU y Amort'!D2</f>
        <v>19791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'BU y Amort'!D3</f>
        <v>13194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f>'BU y Amort'!D4</f>
        <v>17592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</row>
    <row r="10" spans="1:62" ht="19.5" thickBot="1">
      <c r="A10" s="9" t="s">
        <v>26</v>
      </c>
      <c r="B10" s="43">
        <f>+B4-B8</f>
        <v>534716.995</v>
      </c>
      <c r="C10" s="43">
        <f t="shared" ref="C10:O10" si="1">+B10+C7</f>
        <v>477825.29833333334</v>
      </c>
      <c r="D10" s="43">
        <f t="shared" si="1"/>
        <v>422711.89666666667</v>
      </c>
      <c r="E10" s="43">
        <f t="shared" si="1"/>
        <v>369789.23499999999</v>
      </c>
      <c r="F10" s="43">
        <f t="shared" si="1"/>
        <v>319440.04833333334</v>
      </c>
      <c r="G10" s="43">
        <f t="shared" si="1"/>
        <v>272192.82166666666</v>
      </c>
      <c r="H10" s="43">
        <f t="shared" si="1"/>
        <v>228687.73499999999</v>
      </c>
      <c r="I10" s="43">
        <f t="shared" si="1"/>
        <v>189578.84333333332</v>
      </c>
      <c r="J10" s="43">
        <f t="shared" si="1"/>
        <v>155763.21166666667</v>
      </c>
      <c r="K10" s="43">
        <f t="shared" si="1"/>
        <v>128263.755</v>
      </c>
      <c r="L10" s="43">
        <f t="shared" si="1"/>
        <v>108248.57833333334</v>
      </c>
      <c r="M10" s="43">
        <f t="shared" si="1"/>
        <v>97157.666666666657</v>
      </c>
      <c r="N10" s="43">
        <f t="shared" si="1"/>
        <v>96606.380012602647</v>
      </c>
      <c r="O10" s="43">
        <f t="shared" si="1"/>
        <v>96155.202092068241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</row>
    <row r="11" spans="1:62" ht="15.75" thickBot="1">
      <c r="A11" s="24" t="s">
        <v>25</v>
      </c>
      <c r="B11" s="42">
        <f t="shared" ref="B11:AG11" si="2">+SUM(B8:B10)</f>
        <v>739507.995</v>
      </c>
      <c r="C11" s="42">
        <f t="shared" si="2"/>
        <v>477825.29833333334</v>
      </c>
      <c r="D11" s="42">
        <f t="shared" si="2"/>
        <v>422711.89666666667</v>
      </c>
      <c r="E11" s="42">
        <f t="shared" si="2"/>
        <v>369789.23499999999</v>
      </c>
      <c r="F11" s="42">
        <f t="shared" si="2"/>
        <v>319440.04833333334</v>
      </c>
      <c r="G11" s="42">
        <f t="shared" si="2"/>
        <v>272192.82166666666</v>
      </c>
      <c r="H11" s="42">
        <f t="shared" si="2"/>
        <v>228687.73499999999</v>
      </c>
      <c r="I11" s="42">
        <f t="shared" si="2"/>
        <v>189578.84333333332</v>
      </c>
      <c r="J11" s="42">
        <f t="shared" si="2"/>
        <v>155763.21166666667</v>
      </c>
      <c r="K11" s="42">
        <f t="shared" si="2"/>
        <v>128263.755</v>
      </c>
      <c r="L11" s="42">
        <f t="shared" si="2"/>
        <v>108248.57833333334</v>
      </c>
      <c r="M11" s="42">
        <f t="shared" si="2"/>
        <v>97157.666666666657</v>
      </c>
      <c r="N11" s="42">
        <f t="shared" si="2"/>
        <v>96606.380012602647</v>
      </c>
      <c r="O11" s="42">
        <f t="shared" si="2"/>
        <v>109349.20209206824</v>
      </c>
      <c r="P11" s="42">
        <f t="shared" si="2"/>
        <v>0</v>
      </c>
      <c r="Q11" s="42">
        <f t="shared" si="2"/>
        <v>0</v>
      </c>
      <c r="R11" s="42">
        <f t="shared" si="2"/>
        <v>0</v>
      </c>
      <c r="S11" s="42">
        <f t="shared" si="2"/>
        <v>0</v>
      </c>
      <c r="T11" s="42">
        <f t="shared" si="2"/>
        <v>0</v>
      </c>
      <c r="U11" s="42">
        <f t="shared" si="2"/>
        <v>0</v>
      </c>
      <c r="V11" s="42">
        <f t="shared" si="2"/>
        <v>0</v>
      </c>
      <c r="W11" s="42">
        <f t="shared" si="2"/>
        <v>0</v>
      </c>
      <c r="X11" s="42">
        <f t="shared" si="2"/>
        <v>0</v>
      </c>
      <c r="Y11" s="42">
        <f t="shared" si="2"/>
        <v>0</v>
      </c>
      <c r="Z11" s="42">
        <f t="shared" si="2"/>
        <v>0</v>
      </c>
      <c r="AA11" s="42">
        <f t="shared" si="2"/>
        <v>17592</v>
      </c>
      <c r="AB11" s="42">
        <f t="shared" si="2"/>
        <v>0</v>
      </c>
      <c r="AC11" s="42">
        <f t="shared" si="2"/>
        <v>0</v>
      </c>
      <c r="AD11" s="42">
        <f t="shared" si="2"/>
        <v>0</v>
      </c>
      <c r="AE11" s="42">
        <f t="shared" si="2"/>
        <v>0</v>
      </c>
      <c r="AF11" s="42">
        <f t="shared" si="2"/>
        <v>0</v>
      </c>
      <c r="AG11" s="42">
        <f t="shared" si="2"/>
        <v>0</v>
      </c>
      <c r="AH11" s="42">
        <f t="shared" ref="AH11:BJ11" si="3">+SUM(AH8:AH10)</f>
        <v>0</v>
      </c>
      <c r="AI11" s="42">
        <f t="shared" si="3"/>
        <v>0</v>
      </c>
      <c r="AJ11" s="42">
        <f t="shared" si="3"/>
        <v>0</v>
      </c>
      <c r="AK11" s="42">
        <f t="shared" si="3"/>
        <v>0</v>
      </c>
      <c r="AL11" s="42">
        <f t="shared" si="3"/>
        <v>0</v>
      </c>
      <c r="AM11" s="42">
        <f t="shared" si="3"/>
        <v>0</v>
      </c>
      <c r="AN11" s="42">
        <f t="shared" si="3"/>
        <v>0</v>
      </c>
      <c r="AO11" s="42">
        <f t="shared" si="3"/>
        <v>0</v>
      </c>
      <c r="AP11" s="42">
        <f t="shared" si="3"/>
        <v>0</v>
      </c>
      <c r="AQ11" s="42">
        <f t="shared" si="3"/>
        <v>0</v>
      </c>
      <c r="AR11" s="42">
        <f t="shared" si="3"/>
        <v>0</v>
      </c>
      <c r="AS11" s="42">
        <f t="shared" si="3"/>
        <v>0</v>
      </c>
      <c r="AT11" s="42">
        <f t="shared" si="3"/>
        <v>0</v>
      </c>
      <c r="AU11" s="42">
        <f t="shared" si="3"/>
        <v>0</v>
      </c>
      <c r="AV11" s="42">
        <f t="shared" si="3"/>
        <v>0</v>
      </c>
      <c r="AW11" s="42">
        <f t="shared" si="3"/>
        <v>0</v>
      </c>
      <c r="AX11" s="42">
        <f t="shared" si="3"/>
        <v>0</v>
      </c>
      <c r="AY11" s="42">
        <f t="shared" si="3"/>
        <v>0</v>
      </c>
      <c r="AZ11" s="42">
        <f t="shared" si="3"/>
        <v>0</v>
      </c>
      <c r="BA11" s="42">
        <f t="shared" si="3"/>
        <v>0</v>
      </c>
      <c r="BB11" s="42">
        <f t="shared" si="3"/>
        <v>0</v>
      </c>
      <c r="BC11" s="42">
        <f t="shared" si="3"/>
        <v>0</v>
      </c>
      <c r="BD11" s="42">
        <f t="shared" si="3"/>
        <v>0</v>
      </c>
      <c r="BE11" s="42">
        <f t="shared" si="3"/>
        <v>0</v>
      </c>
      <c r="BF11" s="42">
        <f t="shared" si="3"/>
        <v>0</v>
      </c>
      <c r="BG11" s="42">
        <f t="shared" si="3"/>
        <v>0</v>
      </c>
      <c r="BH11" s="42">
        <f t="shared" si="3"/>
        <v>0</v>
      </c>
      <c r="BI11" s="42">
        <f t="shared" si="3"/>
        <v>0</v>
      </c>
      <c r="BJ11" s="42">
        <f t="shared" si="3"/>
        <v>0</v>
      </c>
    </row>
    <row r="12" spans="1:62" ht="15.75" thickBot="1">
      <c r="A12" s="25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</row>
    <row r="13" spans="1:62" ht="15.75" thickBot="1">
      <c r="A13" s="24" t="s">
        <v>27</v>
      </c>
      <c r="B13" s="42">
        <f t="shared" ref="B13:AG13" si="4">+B7-B11</f>
        <v>-19791</v>
      </c>
      <c r="C13" s="42">
        <f t="shared" si="4"/>
        <v>-534716.995</v>
      </c>
      <c r="D13" s="42">
        <f t="shared" si="4"/>
        <v>-477825.29833333334</v>
      </c>
      <c r="E13" s="42">
        <f t="shared" si="4"/>
        <v>-422711.89666666667</v>
      </c>
      <c r="F13" s="42">
        <f t="shared" si="4"/>
        <v>-369789.23499999999</v>
      </c>
      <c r="G13" s="42">
        <f t="shared" si="4"/>
        <v>-319440.04833333334</v>
      </c>
      <c r="H13" s="42">
        <f t="shared" si="4"/>
        <v>-272192.82166666666</v>
      </c>
      <c r="I13" s="42">
        <f t="shared" si="4"/>
        <v>-228687.73499999999</v>
      </c>
      <c r="J13" s="42">
        <f t="shared" si="4"/>
        <v>-189578.84333333332</v>
      </c>
      <c r="K13" s="42">
        <f t="shared" si="4"/>
        <v>-155763.21166666667</v>
      </c>
      <c r="L13" s="42">
        <f t="shared" si="4"/>
        <v>-128263.755</v>
      </c>
      <c r="M13" s="42">
        <f t="shared" si="4"/>
        <v>-108248.57833333334</v>
      </c>
      <c r="N13" s="42">
        <f t="shared" si="4"/>
        <v>-97157.666666666657</v>
      </c>
      <c r="O13" s="42">
        <f t="shared" si="4"/>
        <v>-109800.38001260265</v>
      </c>
      <c r="P13" s="42">
        <f t="shared" si="4"/>
        <v>16674.328193891</v>
      </c>
      <c r="Q13" s="42">
        <f t="shared" si="4"/>
        <v>36245.833605695603</v>
      </c>
      <c r="R13" s="42">
        <f t="shared" si="4"/>
        <v>20804.440082264002</v>
      </c>
      <c r="S13" s="42">
        <f t="shared" si="4"/>
        <v>39675.5905617182</v>
      </c>
      <c r="T13" s="42">
        <f t="shared" si="4"/>
        <v>61236.050453274802</v>
      </c>
      <c r="U13" s="42">
        <f t="shared" si="4"/>
        <v>85861.418104887809</v>
      </c>
      <c r="V13" s="42">
        <f t="shared" si="4"/>
        <v>96417.5666513264</v>
      </c>
      <c r="W13" s="42">
        <f t="shared" si="4"/>
        <v>125746.15863601936</v>
      </c>
      <c r="X13" s="42">
        <f t="shared" si="4"/>
        <v>159265.8030270428</v>
      </c>
      <c r="Y13" s="42">
        <f t="shared" si="4"/>
        <v>197554.67755047261</v>
      </c>
      <c r="Z13" s="42">
        <f t="shared" si="4"/>
        <v>245871.36579768924</v>
      </c>
      <c r="AA13" s="42">
        <f t="shared" si="4"/>
        <v>513813.93624189624</v>
      </c>
      <c r="AB13" s="42">
        <f t="shared" si="4"/>
        <v>614123.77572311205</v>
      </c>
      <c r="AC13" s="42">
        <f t="shared" si="4"/>
        <v>701300.17927486333</v>
      </c>
      <c r="AD13" s="42">
        <f t="shared" si="4"/>
        <v>793295.26198639371</v>
      </c>
      <c r="AE13" s="42">
        <f t="shared" si="4"/>
        <v>890533.65304815618</v>
      </c>
      <c r="AF13" s="42">
        <f t="shared" si="4"/>
        <v>993456.78536716255</v>
      </c>
      <c r="AG13" s="42">
        <f t="shared" si="4"/>
        <v>1102566.1049896732</v>
      </c>
      <c r="AH13" s="42">
        <f t="shared" ref="AH13:BJ13" si="5">+AH7-AH11</f>
        <v>1218441.1932434088</v>
      </c>
      <c r="AI13" s="42">
        <f t="shared" si="5"/>
        <v>1341708.2962575832</v>
      </c>
      <c r="AJ13" s="42">
        <f t="shared" si="5"/>
        <v>1473278.413241751</v>
      </c>
      <c r="AK13" s="42">
        <f t="shared" si="5"/>
        <v>1613802.0867380612</v>
      </c>
      <c r="AL13" s="42">
        <f t="shared" si="5"/>
        <v>1797217.9428599889</v>
      </c>
      <c r="AM13" s="42">
        <f t="shared" si="5"/>
        <v>3504434.5691561289</v>
      </c>
      <c r="AN13" s="42">
        <f t="shared" si="5"/>
        <v>3764540.4259812441</v>
      </c>
      <c r="AO13" s="42">
        <f t="shared" si="5"/>
        <v>4028229.5611673384</v>
      </c>
      <c r="AP13" s="42">
        <f t="shared" si="5"/>
        <v>4297413.9634488393</v>
      </c>
      <c r="AQ13" s="42">
        <f t="shared" si="5"/>
        <v>4573953.804222405</v>
      </c>
      <c r="AR13" s="42">
        <f t="shared" si="5"/>
        <v>4860046.9120117994</v>
      </c>
      <c r="AS13" s="42">
        <f t="shared" si="5"/>
        <v>5149362.196586391</v>
      </c>
      <c r="AT13" s="42">
        <f t="shared" si="5"/>
        <v>5463530.7397202626</v>
      </c>
      <c r="AU13" s="42">
        <f t="shared" si="5"/>
        <v>5796980.8046831777</v>
      </c>
      <c r="AV13" s="42">
        <f t="shared" si="5"/>
        <v>6154085.458950405</v>
      </c>
      <c r="AW13" s="42">
        <f t="shared" si="5"/>
        <v>6540038.5244558714</v>
      </c>
      <c r="AX13" s="42">
        <f t="shared" si="5"/>
        <v>7090528.3867961382</v>
      </c>
      <c r="AY13" s="42">
        <f t="shared" si="5"/>
        <v>12865233.353196939</v>
      </c>
      <c r="AZ13" s="42">
        <f t="shared" si="5"/>
        <v>13531812.290156281</v>
      </c>
      <c r="BA13" s="42">
        <f t="shared" si="5"/>
        <v>14251845.331324218</v>
      </c>
      <c r="BB13" s="42">
        <f t="shared" si="5"/>
        <v>15038477.583097452</v>
      </c>
      <c r="BC13" s="42">
        <f t="shared" si="5"/>
        <v>15907229.339734068</v>
      </c>
      <c r="BD13" s="42">
        <f t="shared" si="5"/>
        <v>16876367.194018796</v>
      </c>
      <c r="BE13" s="42">
        <f t="shared" si="5"/>
        <v>17966814.561737694</v>
      </c>
      <c r="BF13" s="42">
        <f t="shared" si="5"/>
        <v>19204735.945402432</v>
      </c>
      <c r="BG13" s="42">
        <f t="shared" si="5"/>
        <v>20619634.032578614</v>
      </c>
      <c r="BH13" s="42">
        <f t="shared" si="5"/>
        <v>22246556.337704472</v>
      </c>
      <c r="BI13" s="42">
        <f t="shared" si="5"/>
        <v>24127751.230198216</v>
      </c>
      <c r="BJ13" s="42">
        <f t="shared" si="5"/>
        <v>26802220.72102746</v>
      </c>
    </row>
    <row r="14" spans="1:62" ht="15.75" thickBot="1">
      <c r="A14" s="24" t="s">
        <v>28</v>
      </c>
      <c r="B14" s="42">
        <f>+B13</f>
        <v>-19791</v>
      </c>
      <c r="C14" s="42">
        <f>+C13+B14</f>
        <v>-554507.995</v>
      </c>
      <c r="D14" s="42">
        <f t="shared" ref="D14:BJ14" si="6">+D13+C14</f>
        <v>-1032333.2933333333</v>
      </c>
      <c r="E14" s="42">
        <f t="shared" si="6"/>
        <v>-1455045.19</v>
      </c>
      <c r="F14" s="42">
        <f t="shared" si="6"/>
        <v>-1824834.4249999998</v>
      </c>
      <c r="G14" s="42">
        <f t="shared" si="6"/>
        <v>-2144274.4733333332</v>
      </c>
      <c r="H14" s="42">
        <f t="shared" si="6"/>
        <v>-2416467.2949999999</v>
      </c>
      <c r="I14" s="42">
        <f t="shared" si="6"/>
        <v>-2645155.0299999998</v>
      </c>
      <c r="J14" s="42">
        <f t="shared" si="6"/>
        <v>-2834733.8733333331</v>
      </c>
      <c r="K14" s="42">
        <f t="shared" si="6"/>
        <v>-2990497.085</v>
      </c>
      <c r="L14" s="42">
        <f t="shared" si="6"/>
        <v>-3118760.84</v>
      </c>
      <c r="M14" s="42">
        <f t="shared" si="6"/>
        <v>-3227009.418333333</v>
      </c>
      <c r="N14" s="42">
        <f t="shared" si="6"/>
        <v>-3324167.0849999995</v>
      </c>
      <c r="O14" s="42">
        <f t="shared" si="6"/>
        <v>-3433967.465012602</v>
      </c>
      <c r="P14" s="42">
        <f t="shared" si="6"/>
        <v>-3417293.1368187112</v>
      </c>
      <c r="Q14" s="42">
        <f t="shared" si="6"/>
        <v>-3381047.3032130157</v>
      </c>
      <c r="R14" s="42">
        <f t="shared" si="6"/>
        <v>-3360242.8631307515</v>
      </c>
      <c r="S14" s="42">
        <f t="shared" si="6"/>
        <v>-3320567.2725690333</v>
      </c>
      <c r="T14" s="42">
        <f t="shared" si="6"/>
        <v>-3259331.2221157583</v>
      </c>
      <c r="U14" s="42">
        <f t="shared" si="6"/>
        <v>-3173469.8040108704</v>
      </c>
      <c r="V14" s="42">
        <f t="shared" si="6"/>
        <v>-3077052.2373595438</v>
      </c>
      <c r="W14" s="42">
        <f t="shared" si="6"/>
        <v>-2951306.0787235242</v>
      </c>
      <c r="X14" s="42">
        <f t="shared" si="6"/>
        <v>-2792040.2756964816</v>
      </c>
      <c r="Y14" s="42">
        <f t="shared" si="6"/>
        <v>-2594485.5981460088</v>
      </c>
      <c r="Z14" s="42">
        <f t="shared" si="6"/>
        <v>-2348614.2323483196</v>
      </c>
      <c r="AA14" s="42">
        <f t="shared" si="6"/>
        <v>-1834800.2961064233</v>
      </c>
      <c r="AB14" s="42">
        <f t="shared" si="6"/>
        <v>-1220676.5203833112</v>
      </c>
      <c r="AC14" s="42">
        <f t="shared" si="6"/>
        <v>-519376.34110844787</v>
      </c>
      <c r="AD14" s="42">
        <f t="shared" si="6"/>
        <v>273918.92087794584</v>
      </c>
      <c r="AE14" s="42">
        <f t="shared" si="6"/>
        <v>1164452.5739261019</v>
      </c>
      <c r="AF14" s="42">
        <f t="shared" si="6"/>
        <v>2157909.3592932643</v>
      </c>
      <c r="AG14" s="42">
        <f t="shared" si="6"/>
        <v>3260475.4642829373</v>
      </c>
      <c r="AH14" s="42">
        <f t="shared" si="6"/>
        <v>4478916.6575263459</v>
      </c>
      <c r="AI14" s="42">
        <f t="shared" si="6"/>
        <v>5820624.9537839293</v>
      </c>
      <c r="AJ14" s="42">
        <f t="shared" si="6"/>
        <v>7293903.3670256808</v>
      </c>
      <c r="AK14" s="42">
        <f t="shared" si="6"/>
        <v>8907705.453763742</v>
      </c>
      <c r="AL14" s="42">
        <f t="shared" si="6"/>
        <v>10704923.396623731</v>
      </c>
      <c r="AM14" s="42">
        <f t="shared" si="6"/>
        <v>14209357.96577986</v>
      </c>
      <c r="AN14" s="42">
        <f t="shared" si="6"/>
        <v>17973898.391761102</v>
      </c>
      <c r="AO14" s="42">
        <f t="shared" si="6"/>
        <v>22002127.952928439</v>
      </c>
      <c r="AP14" s="42">
        <f t="shared" si="6"/>
        <v>26299541.916377276</v>
      </c>
      <c r="AQ14" s="42">
        <f t="shared" si="6"/>
        <v>30873495.720599681</v>
      </c>
      <c r="AR14" s="42">
        <f t="shared" si="6"/>
        <v>35733542.632611483</v>
      </c>
      <c r="AS14" s="42">
        <f t="shared" si="6"/>
        <v>40882904.829197876</v>
      </c>
      <c r="AT14" s="42">
        <f t="shared" si="6"/>
        <v>46346435.568918139</v>
      </c>
      <c r="AU14" s="42">
        <f t="shared" si="6"/>
        <v>52143416.373601317</v>
      </c>
      <c r="AV14" s="42">
        <f t="shared" si="6"/>
        <v>58297501.832551725</v>
      </c>
      <c r="AW14" s="42">
        <f t="shared" si="6"/>
        <v>64837540.357007593</v>
      </c>
      <c r="AX14" s="42">
        <f t="shared" si="6"/>
        <v>71928068.743803725</v>
      </c>
      <c r="AY14" s="42">
        <f t="shared" si="6"/>
        <v>84793302.097000659</v>
      </c>
      <c r="AZ14" s="42">
        <f t="shared" si="6"/>
        <v>98325114.387156934</v>
      </c>
      <c r="BA14" s="42">
        <f t="shared" si="6"/>
        <v>112576959.71848115</v>
      </c>
      <c r="BB14" s="42">
        <f t="shared" si="6"/>
        <v>127615437.30157861</v>
      </c>
      <c r="BC14" s="42">
        <f t="shared" si="6"/>
        <v>143522666.64131269</v>
      </c>
      <c r="BD14" s="42">
        <f t="shared" si="6"/>
        <v>160399033.8353315</v>
      </c>
      <c r="BE14" s="42">
        <f t="shared" si="6"/>
        <v>178365848.39706919</v>
      </c>
      <c r="BF14" s="42">
        <f t="shared" si="6"/>
        <v>197570584.34247163</v>
      </c>
      <c r="BG14" s="42">
        <f t="shared" si="6"/>
        <v>218190218.37505025</v>
      </c>
      <c r="BH14" s="42">
        <f t="shared" si="6"/>
        <v>240436774.71275473</v>
      </c>
      <c r="BI14" s="42">
        <f t="shared" si="6"/>
        <v>264564525.94295293</v>
      </c>
      <c r="BJ14" s="42">
        <f t="shared" si="6"/>
        <v>291366746.66398036</v>
      </c>
    </row>
    <row r="15" spans="1:62" ht="15.75" thickBot="1">
      <c r="B15" s="23"/>
    </row>
    <row r="16" spans="1:62">
      <c r="A16" s="102" t="s">
        <v>131</v>
      </c>
      <c r="B16" s="103">
        <f>+NPV(B18,B13:BJ13)</f>
        <v>7816479.5000524037</v>
      </c>
    </row>
    <row r="17" spans="1:9">
      <c r="A17" s="104" t="s">
        <v>132</v>
      </c>
      <c r="B17" s="105">
        <f>+IRR(B13:BJ13)</f>
        <v>0.10878259136961366</v>
      </c>
      <c r="C17" s="41"/>
    </row>
    <row r="18" spans="1:9">
      <c r="A18" s="104" t="s">
        <v>190</v>
      </c>
      <c r="B18" s="148">
        <v>6.93E-2</v>
      </c>
      <c r="C18" s="94" t="s">
        <v>143</v>
      </c>
    </row>
    <row r="19" spans="1:9">
      <c r="A19" s="104" t="s">
        <v>164</v>
      </c>
      <c r="B19" s="105">
        <f>+B17-B18</f>
        <v>3.9482591369613657E-2</v>
      </c>
      <c r="C19" s="94" t="s">
        <v>168</v>
      </c>
    </row>
    <row r="20" spans="1:9" ht="15.75" thickBot="1">
      <c r="A20" s="106" t="s">
        <v>133</v>
      </c>
      <c r="B20" s="107" t="str">
        <f>+IF(B17&gt;B18,"VIABLE","NO VIABLE")</f>
        <v>VIABLE</v>
      </c>
    </row>
    <row r="21" spans="1:9">
      <c r="C21" s="52"/>
      <c r="D21" s="116" t="s">
        <v>165</v>
      </c>
      <c r="E21" s="117"/>
      <c r="F21" s="117"/>
      <c r="G21" s="117"/>
      <c r="H21" s="117"/>
      <c r="I21" s="117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8715-1655-46F6-8275-D22EF5627500}">
  <sheetPr>
    <tabColor rgb="FFFFC000"/>
  </sheetPr>
  <dimension ref="A1:BI40"/>
  <sheetViews>
    <sheetView zoomScale="120" zoomScaleNormal="12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ColWidth="8.85546875" defaultRowHeight="15"/>
  <cols>
    <col min="1" max="1" width="26.28515625" customWidth="1"/>
    <col min="2" max="12" width="15.85546875" bestFit="1" customWidth="1"/>
    <col min="13" max="13" width="17.42578125" bestFit="1" customWidth="1"/>
    <col min="14" max="14" width="15.85546875" bestFit="1" customWidth="1"/>
    <col min="15" max="18" width="16.140625" bestFit="1" customWidth="1"/>
    <col min="19" max="30" width="17.42578125" bestFit="1" customWidth="1"/>
    <col min="31" max="36" width="17.85546875" bestFit="1" customWidth="1"/>
    <col min="37" max="49" width="18.42578125" bestFit="1" customWidth="1"/>
    <col min="50" max="54" width="18.85546875" bestFit="1" customWidth="1"/>
    <col min="55" max="61" width="20" bestFit="1" customWidth="1"/>
  </cols>
  <sheetData>
    <row r="1" spans="1:61">
      <c r="A1" s="1" t="s">
        <v>134</v>
      </c>
      <c r="B1" s="28"/>
      <c r="D1" s="30"/>
      <c r="E1" s="30"/>
      <c r="F1" s="30"/>
      <c r="G1" s="30"/>
      <c r="H1" s="30"/>
      <c r="I1" s="30"/>
      <c r="J1" s="30"/>
      <c r="K1" s="30"/>
      <c r="L1" s="30"/>
      <c r="M1" s="90">
        <f>+'Inflación USD'!$B$7</f>
        <v>1.9400000000000001E-2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>
        <f>+'Inflación USD'!$B$7</f>
        <v>1.9400000000000001E-2</v>
      </c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>
        <f>+'Inflación USD'!$B$7</f>
        <v>1.9400000000000001E-2</v>
      </c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>
        <f>+'Inflación USD'!$B$7</f>
        <v>1.9400000000000001E-2</v>
      </c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>
        <f>+'Inflación USD'!$B$7</f>
        <v>1.9400000000000001E-2</v>
      </c>
    </row>
    <row r="2" spans="1:61">
      <c r="A2" s="1" t="s">
        <v>6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>
        <v>57</v>
      </c>
      <c r="BG2" s="1">
        <v>58</v>
      </c>
      <c r="BH2" s="1">
        <v>59</v>
      </c>
      <c r="BI2" s="1">
        <v>60</v>
      </c>
    </row>
    <row r="3" spans="1:61">
      <c r="A3" s="37" t="s">
        <v>0</v>
      </c>
      <c r="B3" s="44">
        <f>+SUM(B4:B8)</f>
        <v>1450</v>
      </c>
      <c r="C3" s="44">
        <f t="shared" ref="C3:L3" si="0">+SUM(C4:C8)</f>
        <v>3285</v>
      </c>
      <c r="D3" s="44">
        <f t="shared" si="0"/>
        <v>5545</v>
      </c>
      <c r="E3" s="44">
        <f t="shared" si="0"/>
        <v>8200</v>
      </c>
      <c r="F3" s="44">
        <f t="shared" si="0"/>
        <v>11400</v>
      </c>
      <c r="G3" s="44">
        <f t="shared" si="0"/>
        <v>15260</v>
      </c>
      <c r="H3" s="44">
        <f t="shared" si="0"/>
        <v>19795</v>
      </c>
      <c r="I3" s="44">
        <f t="shared" si="0"/>
        <v>25255</v>
      </c>
      <c r="J3" s="44">
        <f t="shared" si="0"/>
        <v>31770</v>
      </c>
      <c r="K3" s="44">
        <f t="shared" si="0"/>
        <v>39490</v>
      </c>
      <c r="L3" s="44">
        <f t="shared" si="0"/>
        <v>48695</v>
      </c>
      <c r="M3" s="44">
        <f>+SUM(M4:M8)*(1+$M$1)</f>
        <v>60756.240000000005</v>
      </c>
      <c r="N3" s="44">
        <f t="shared" ref="N3:X3" si="1">+SUM(N4:N8)*(1+$M$1)</f>
        <v>112297.10400000001</v>
      </c>
      <c r="O3" s="44">
        <f t="shared" si="1"/>
        <v>134535.315</v>
      </c>
      <c r="P3" s="44">
        <f t="shared" si="1"/>
        <v>159954.054</v>
      </c>
      <c r="Q3" s="44">
        <f t="shared" si="1"/>
        <v>188996.76</v>
      </c>
      <c r="R3" s="44">
        <f t="shared" si="1"/>
        <v>222122.16300000003</v>
      </c>
      <c r="S3" s="44">
        <f t="shared" si="1"/>
        <v>259977.58200000002</v>
      </c>
      <c r="T3" s="44">
        <f t="shared" si="1"/>
        <v>303225.62700000004</v>
      </c>
      <c r="U3" s="44">
        <f t="shared" si="1"/>
        <v>352753.17600000004</v>
      </c>
      <c r="V3" s="44">
        <f t="shared" si="1"/>
        <v>409253.42100000003</v>
      </c>
      <c r="W3" s="44">
        <f t="shared" si="1"/>
        <v>473847.70200000005</v>
      </c>
      <c r="X3" s="44">
        <f t="shared" si="1"/>
        <v>547657.35900000005</v>
      </c>
      <c r="Y3" s="44">
        <f>+SUM(Y4:Y8)*(1+$Y$1)^2</f>
        <v>644528.35376280011</v>
      </c>
      <c r="Z3" s="44">
        <f t="shared" ref="Z3:AJ3" si="2">+SUM(Z4:Z8)*(1+$Y$1)^2</f>
        <v>1231366.8319002001</v>
      </c>
      <c r="AA3" s="44">
        <f t="shared" si="2"/>
        <v>1390724.5267062001</v>
      </c>
      <c r="AB3" s="44">
        <f t="shared" si="2"/>
        <v>1558816.4988180003</v>
      </c>
      <c r="AC3" s="44">
        <f t="shared" si="2"/>
        <v>1736370.1716876002</v>
      </c>
      <c r="AD3" s="44">
        <f t="shared" si="2"/>
        <v>1924242.8658120004</v>
      </c>
      <c r="AE3" s="44">
        <f t="shared" si="2"/>
        <v>2123333.4687426002</v>
      </c>
      <c r="AF3" s="44">
        <f t="shared" si="2"/>
        <v>2334665.5691940002</v>
      </c>
      <c r="AG3" s="44">
        <f t="shared" si="2"/>
        <v>2559423.8282166002</v>
      </c>
      <c r="AH3" s="44">
        <f t="shared" si="2"/>
        <v>2798896.8244968005</v>
      </c>
      <c r="AI3" s="44">
        <f t="shared" si="2"/>
        <v>3054934.2919554003</v>
      </c>
      <c r="AJ3" s="44">
        <f t="shared" si="2"/>
        <v>3328907.9433876006</v>
      </c>
      <c r="AK3" s="44">
        <f>+SUM(AK4:AK8)*(1+$AK$1)^3</f>
        <v>3693408.0737867584</v>
      </c>
      <c r="AL3" s="44">
        <f t="shared" ref="AL3:AV3" si="3">+SUM(AL4:AL8)*(1+$AK$1)^3</f>
        <v>6968198.1897420008</v>
      </c>
      <c r="AM3" s="44">
        <f t="shared" si="3"/>
        <v>7475090.6482342454</v>
      </c>
      <c r="AN3" s="44">
        <f t="shared" si="3"/>
        <v>7990473.6878232826</v>
      </c>
      <c r="AO3" s="44">
        <f t="shared" si="3"/>
        <v>8518314.5232573953</v>
      </c>
      <c r="AP3" s="44">
        <f t="shared" si="3"/>
        <v>9062537.995829612</v>
      </c>
      <c r="AQ3" s="44">
        <f t="shared" si="3"/>
        <v>9627783.9988903925</v>
      </c>
      <c r="AR3" s="44">
        <f t="shared" si="3"/>
        <v>10220191.386769861</v>
      </c>
      <c r="AS3" s="44">
        <f t="shared" si="3"/>
        <v>10846290.968259245</v>
      </c>
      <c r="AT3" s="44">
        <f t="shared" si="3"/>
        <v>11513884.755807443</v>
      </c>
      <c r="AU3" s="44">
        <f t="shared" si="3"/>
        <v>12232204.865978213</v>
      </c>
      <c r="AV3" s="44">
        <f t="shared" si="3"/>
        <v>13012215.430318879</v>
      </c>
      <c r="AW3" s="44">
        <f>+SUM(AW4:AW8)*(1+$AW$1)^4</f>
        <v>14135948.845962478</v>
      </c>
      <c r="AX3" s="44">
        <f t="shared" ref="AX3:BH3" si="4">+SUM(AX4:AX8)*(1+$AW$1)^4</f>
        <v>25264869.936611272</v>
      </c>
      <c r="AY3" s="44">
        <f t="shared" si="4"/>
        <v>26612326.570886355</v>
      </c>
      <c r="AZ3" s="44">
        <f t="shared" si="4"/>
        <v>28075293.372367248</v>
      </c>
      <c r="BA3" s="44">
        <f t="shared" si="4"/>
        <v>29681415.461237837</v>
      </c>
      <c r="BB3" s="44">
        <f t="shared" si="4"/>
        <v>31463348.635715328</v>
      </c>
      <c r="BC3" s="44">
        <f t="shared" si="4"/>
        <v>33459558.488805577</v>
      </c>
      <c r="BD3" s="44">
        <f t="shared" si="4"/>
        <v>35714250.215615116</v>
      </c>
      <c r="BE3" s="44">
        <f t="shared" si="4"/>
        <v>38282444.084634908</v>
      </c>
      <c r="BF3" s="44">
        <f t="shared" si="4"/>
        <v>41226471.202779539</v>
      </c>
      <c r="BG3" s="44">
        <f t="shared" si="4"/>
        <v>44620374.056979015</v>
      </c>
      <c r="BH3" s="44">
        <f t="shared" si="4"/>
        <v>48553286.562076204</v>
      </c>
      <c r="BI3" s="44">
        <f>+SUM(BI4:BI8)*(1+$BI$1)^5</f>
        <v>54161625.707808793</v>
      </c>
    </row>
    <row r="4" spans="1:61">
      <c r="A4" s="118" t="s">
        <v>38</v>
      </c>
      <c r="B4" s="44">
        <f>+Ventas!B23*Ventas!$B$2</f>
        <v>0</v>
      </c>
      <c r="C4" s="44">
        <f>+Ventas!C23*Ventas!$B$2</f>
        <v>0</v>
      </c>
      <c r="D4" s="44">
        <f>+Ventas!D23*Ventas!$B$2</f>
        <v>0</v>
      </c>
      <c r="E4" s="44">
        <f>+Ventas!E23*Ventas!$B$2</f>
        <v>0</v>
      </c>
      <c r="F4" s="44">
        <f>+Ventas!F23*Ventas!$B$2</f>
        <v>0</v>
      </c>
      <c r="G4" s="44">
        <f>+Ventas!G23*Ventas!$B$2</f>
        <v>0</v>
      </c>
      <c r="H4" s="44">
        <f>+Ventas!H23*Ventas!$B$2</f>
        <v>0</v>
      </c>
      <c r="I4" s="44">
        <f>+Ventas!I23*Ventas!$B$2</f>
        <v>0</v>
      </c>
      <c r="J4" s="44">
        <f>+Ventas!J23*Ventas!$B$2</f>
        <v>0</v>
      </c>
      <c r="K4" s="44">
        <f>+Ventas!K23*Ventas!$B$2</f>
        <v>0</v>
      </c>
      <c r="L4" s="44">
        <f>+Ventas!L23*Ventas!$B$2</f>
        <v>0</v>
      </c>
      <c r="M4" s="44">
        <f>+Ventas!M23*Ventas!$B$2</f>
        <v>0</v>
      </c>
      <c r="N4" s="44">
        <f>+Ventas!N23*Ventas!$B$2</f>
        <v>0</v>
      </c>
      <c r="O4" s="44">
        <f>+Ventas!O23*Ventas!$B$2</f>
        <v>0</v>
      </c>
      <c r="P4" s="44">
        <f>+Ventas!P23*Ventas!$B$2</f>
        <v>0</v>
      </c>
      <c r="Q4" s="44">
        <f>+Ventas!Q23*Ventas!$B$2</f>
        <v>0</v>
      </c>
      <c r="R4" s="44">
        <f>+Ventas!R23*Ventas!$B$2</f>
        <v>0</v>
      </c>
      <c r="S4" s="44">
        <f>+Ventas!S23*Ventas!$B$2</f>
        <v>0</v>
      </c>
      <c r="T4" s="44">
        <f>+Ventas!T23*Ventas!$B$2</f>
        <v>0</v>
      </c>
      <c r="U4" s="44">
        <f>+Ventas!U23*Ventas!$B$2</f>
        <v>0</v>
      </c>
      <c r="V4" s="44">
        <f>+Ventas!V23*Ventas!$B$2</f>
        <v>0</v>
      </c>
      <c r="W4" s="44">
        <f>+Ventas!W23*Ventas!$B$2</f>
        <v>0</v>
      </c>
      <c r="X4" s="44">
        <f>+Ventas!X23*Ventas!$B$2</f>
        <v>0</v>
      </c>
      <c r="Y4" s="44">
        <f>+Ventas!Y23*Ventas!$B$2</f>
        <v>0</v>
      </c>
      <c r="Z4" s="44">
        <f>+Ventas!Z23*Ventas!$B$2</f>
        <v>0</v>
      </c>
      <c r="AA4" s="44">
        <f>+Ventas!AA23*Ventas!$B$2</f>
        <v>0</v>
      </c>
      <c r="AB4" s="44">
        <f>+Ventas!AB23*Ventas!$B$2</f>
        <v>0</v>
      </c>
      <c r="AC4" s="44">
        <f>+Ventas!AC23*Ventas!$B$2</f>
        <v>0</v>
      </c>
      <c r="AD4" s="44">
        <f>+Ventas!AD23*Ventas!$B$2</f>
        <v>0</v>
      </c>
      <c r="AE4" s="44">
        <f>+Ventas!AE23*Ventas!$B$2</f>
        <v>0</v>
      </c>
      <c r="AF4" s="44">
        <f>+Ventas!AF23*Ventas!$B$2</f>
        <v>0</v>
      </c>
      <c r="AG4" s="44">
        <f>+Ventas!AG23*Ventas!$B$2</f>
        <v>0</v>
      </c>
      <c r="AH4" s="44">
        <f>+Ventas!AH23*Ventas!$B$2</f>
        <v>0</v>
      </c>
      <c r="AI4" s="44">
        <f>+Ventas!AI23*Ventas!$B$2</f>
        <v>0</v>
      </c>
      <c r="AJ4" s="44">
        <f>+Ventas!AJ23*Ventas!$B$2</f>
        <v>0</v>
      </c>
      <c r="AK4" s="44">
        <f>+Ventas!AK23*Ventas!$B$2</f>
        <v>0</v>
      </c>
      <c r="AL4" s="44">
        <f>+Ventas!AL23*Ventas!$B$2</f>
        <v>0</v>
      </c>
      <c r="AM4" s="44">
        <f>+Ventas!AM23*Ventas!$B$2</f>
        <v>0</v>
      </c>
      <c r="AN4" s="44">
        <f>+Ventas!AN23*Ventas!$B$2</f>
        <v>0</v>
      </c>
      <c r="AO4" s="44">
        <f>+Ventas!AO23*Ventas!$B$2</f>
        <v>0</v>
      </c>
      <c r="AP4" s="44">
        <f>+Ventas!AP23*Ventas!$B$2</f>
        <v>0</v>
      </c>
      <c r="AQ4" s="44">
        <f>+Ventas!AQ23*Ventas!$B$2</f>
        <v>0</v>
      </c>
      <c r="AR4" s="44">
        <f>+Ventas!AR23*Ventas!$B$2</f>
        <v>0</v>
      </c>
      <c r="AS4" s="44">
        <f>+Ventas!AS23*Ventas!$B$2</f>
        <v>0</v>
      </c>
      <c r="AT4" s="44">
        <f>+Ventas!AT23*Ventas!$B$2</f>
        <v>0</v>
      </c>
      <c r="AU4" s="44">
        <f>+Ventas!AU23*Ventas!$B$2</f>
        <v>0</v>
      </c>
      <c r="AV4" s="44">
        <f>+Ventas!AV23*Ventas!$B$2</f>
        <v>0</v>
      </c>
      <c r="AW4" s="44">
        <f>+Ventas!AW23*Ventas!$B$2</f>
        <v>0</v>
      </c>
      <c r="AX4" s="44">
        <f>+Ventas!AX23*Ventas!$B$2</f>
        <v>0</v>
      </c>
      <c r="AY4" s="44">
        <f>+Ventas!AY23*Ventas!$B$2</f>
        <v>0</v>
      </c>
      <c r="AZ4" s="44">
        <f>+Ventas!AZ23*Ventas!$B$2</f>
        <v>0</v>
      </c>
      <c r="BA4" s="44">
        <f>+Ventas!BA23*Ventas!$B$2</f>
        <v>0</v>
      </c>
      <c r="BB4" s="44">
        <f>+Ventas!BB23*Ventas!$B$2</f>
        <v>0</v>
      </c>
      <c r="BC4" s="44">
        <f>+Ventas!BC23*Ventas!$B$2</f>
        <v>0</v>
      </c>
      <c r="BD4" s="44">
        <f>+Ventas!BD23*Ventas!$B$2</f>
        <v>0</v>
      </c>
      <c r="BE4" s="44">
        <f>+Ventas!BE23*Ventas!$B$2</f>
        <v>0</v>
      </c>
      <c r="BF4" s="44">
        <f>+Ventas!BF23*Ventas!$B$2</f>
        <v>0</v>
      </c>
      <c r="BG4" s="44">
        <f>+Ventas!BG23*Ventas!$B$2</f>
        <v>0</v>
      </c>
      <c r="BH4" s="44">
        <f>+Ventas!BH23*Ventas!$B$2</f>
        <v>0</v>
      </c>
      <c r="BI4" s="44">
        <f>+Ventas!BI23*Ventas!$B$2</f>
        <v>0</v>
      </c>
    </row>
    <row r="5" spans="1:61">
      <c r="A5" s="118" t="s">
        <v>29</v>
      </c>
      <c r="B5" s="44">
        <f>+Ventas!B24*Ventas!$B$3</f>
        <v>0</v>
      </c>
      <c r="C5" s="44">
        <f>+Ventas!C24*Ventas!$B$3</f>
        <v>135</v>
      </c>
      <c r="D5" s="44">
        <f>+Ventas!D24*Ventas!$B$3</f>
        <v>345</v>
      </c>
      <c r="E5" s="44">
        <f>+Ventas!E24*Ventas!$B$3</f>
        <v>600</v>
      </c>
      <c r="F5" s="44">
        <f>+Ventas!F24*Ventas!$B$3</f>
        <v>900</v>
      </c>
      <c r="G5" s="44">
        <f>+Ventas!G24*Ventas!$B$3</f>
        <v>1260</v>
      </c>
      <c r="H5" s="44">
        <f>+Ventas!H24*Ventas!$B$3</f>
        <v>1695</v>
      </c>
      <c r="I5" s="44">
        <f>+Ventas!I24*Ventas!$B$3</f>
        <v>2205</v>
      </c>
      <c r="J5" s="44">
        <f>+Ventas!J24*Ventas!$B$3</f>
        <v>2820</v>
      </c>
      <c r="K5" s="44">
        <f>+Ventas!K24*Ventas!$B$3</f>
        <v>3540</v>
      </c>
      <c r="L5" s="44">
        <f>+Ventas!L24*Ventas!$B$3</f>
        <v>4395</v>
      </c>
      <c r="M5" s="44">
        <f>+Ventas!M24*Ventas!$B$3</f>
        <v>5400</v>
      </c>
      <c r="N5" s="44">
        <f>+Ventas!N24*Ventas!$B$3</f>
        <v>6600</v>
      </c>
      <c r="O5" s="44">
        <f>+Ventas!O24*Ventas!$B$3</f>
        <v>8025</v>
      </c>
      <c r="P5" s="44">
        <f>+Ventas!P24*Ventas!$B$3</f>
        <v>9720</v>
      </c>
      <c r="Q5" s="44">
        <f>+Ventas!Q24*Ventas!$B$3</f>
        <v>11730</v>
      </c>
      <c r="R5" s="44">
        <f>+Ventas!R24*Ventas!$B$3</f>
        <v>14115</v>
      </c>
      <c r="S5" s="44">
        <f>+Ventas!S24*Ventas!$B$3</f>
        <v>16950</v>
      </c>
      <c r="T5" s="44">
        <f>+Ventas!T24*Ventas!$B$3</f>
        <v>20325</v>
      </c>
      <c r="U5" s="44">
        <f>+Ventas!U24*Ventas!$B$3</f>
        <v>24330</v>
      </c>
      <c r="V5" s="44">
        <f>+Ventas!V24*Ventas!$B$3</f>
        <v>29085</v>
      </c>
      <c r="W5" s="44">
        <f>+Ventas!W24*Ventas!$B$3</f>
        <v>34740</v>
      </c>
      <c r="X5" s="44">
        <f>+Ventas!X24*Ventas!$B$3</f>
        <v>41445</v>
      </c>
      <c r="Y5" s="44">
        <f>+Ventas!Y24*Ventas!$B$3</f>
        <v>49410</v>
      </c>
      <c r="Z5" s="44">
        <f>+Ventas!Z24*Ventas!$B$3</f>
        <v>58875</v>
      </c>
      <c r="AA5" s="44">
        <f>+Ventas!AA24*Ventas!$B$3</f>
        <v>70125</v>
      </c>
      <c r="AB5" s="44">
        <f>+Ventas!AB24*Ventas!$B$3</f>
        <v>83490</v>
      </c>
      <c r="AC5" s="44">
        <f>+Ventas!AC24*Ventas!$B$3</f>
        <v>99360</v>
      </c>
      <c r="AD5" s="44">
        <f>+Ventas!AD24*Ventas!$B$3</f>
        <v>118200</v>
      </c>
      <c r="AE5" s="44">
        <f>+Ventas!AE24*Ventas!$B$3</f>
        <v>140565</v>
      </c>
      <c r="AF5" s="44">
        <f>+Ventas!AF24*Ventas!$B$3</f>
        <v>167130</v>
      </c>
      <c r="AG5" s="44">
        <f>+Ventas!AG24*Ventas!$B$3</f>
        <v>198675</v>
      </c>
      <c r="AH5" s="44">
        <f>+Ventas!AH24*Ventas!$B$3</f>
        <v>236130</v>
      </c>
      <c r="AI5" s="44">
        <f>+Ventas!AI24*Ventas!$B$3</f>
        <v>280605</v>
      </c>
      <c r="AJ5" s="44">
        <f>+Ventas!AJ24*Ventas!$B$3</f>
        <v>333420</v>
      </c>
      <c r="AK5" s="44">
        <f>+Ventas!AK24*Ventas!$B$3</f>
        <v>396120</v>
      </c>
      <c r="AL5" s="44">
        <f>+Ventas!AL24*Ventas!$B$3</f>
        <v>470580</v>
      </c>
      <c r="AM5" s="44">
        <f>+Ventas!AM24*Ventas!$B$3</f>
        <v>559020</v>
      </c>
      <c r="AN5" s="44">
        <f>+Ventas!AN24*Ventas!$B$3</f>
        <v>664035</v>
      </c>
      <c r="AO5" s="44">
        <f>+Ventas!AO24*Ventas!$B$3</f>
        <v>788730</v>
      </c>
      <c r="AP5" s="44">
        <f>+Ventas!AP24*Ventas!$B$3</f>
        <v>936810</v>
      </c>
      <c r="AQ5" s="44">
        <f>+Ventas!AQ24*Ventas!$B$3</f>
        <v>1112655</v>
      </c>
      <c r="AR5" s="44">
        <f>+Ventas!AR24*Ventas!$B$3</f>
        <v>1321470</v>
      </c>
      <c r="AS5" s="44">
        <f>+Ventas!AS24*Ventas!$B$3</f>
        <v>1569420</v>
      </c>
      <c r="AT5" s="44">
        <f>+Ventas!AT24*Ventas!$B$3</f>
        <v>1863870</v>
      </c>
      <c r="AU5" s="44">
        <f>+Ventas!AU24*Ventas!$B$3</f>
        <v>2213535</v>
      </c>
      <c r="AV5" s="44">
        <f>+Ventas!AV24*Ventas!$B$3</f>
        <v>2628765</v>
      </c>
      <c r="AW5" s="44">
        <f>+Ventas!AW24*Ventas!$B$3</f>
        <v>3121845</v>
      </c>
      <c r="AX5" s="44">
        <f>+Ventas!AX24*Ventas!$B$3</f>
        <v>3707385</v>
      </c>
      <c r="AY5" s="44">
        <f>+Ventas!AY24*Ventas!$B$3</f>
        <v>4402710</v>
      </c>
      <c r="AZ5" s="44">
        <f>+Ventas!AZ24*Ventas!$B$3</f>
        <v>5228400</v>
      </c>
      <c r="BA5" s="44">
        <f>+Ventas!BA24*Ventas!$B$3</f>
        <v>6208905</v>
      </c>
      <c r="BB5" s="44">
        <f>+Ventas!BB24*Ventas!$B$3</f>
        <v>7373265</v>
      </c>
      <c r="BC5" s="44">
        <f>+Ventas!BC24*Ventas!$B$3</f>
        <v>8755950</v>
      </c>
      <c r="BD5" s="44">
        <f>+Ventas!BD24*Ventas!$B$3</f>
        <v>10397895</v>
      </c>
      <c r="BE5" s="44">
        <f>+Ventas!BE24*Ventas!$B$3</f>
        <v>12347700</v>
      </c>
      <c r="BF5" s="44">
        <f>+Ventas!BF24*Ventas!$B$3</f>
        <v>14663085</v>
      </c>
      <c r="BG5" s="44">
        <f>+Ventas!BG24*Ventas!$B$3</f>
        <v>17412615</v>
      </c>
      <c r="BH5" s="44">
        <f>+Ventas!BH24*Ventas!$B$3</f>
        <v>20677680</v>
      </c>
      <c r="BI5" s="44">
        <f>+Ventas!BI24*Ventas!$B$3</f>
        <v>24554940</v>
      </c>
    </row>
    <row r="6" spans="1:61">
      <c r="A6" s="118" t="s">
        <v>30</v>
      </c>
      <c r="B6" s="44">
        <f>+Ventas!B25*Ventas!$B$4</f>
        <v>400</v>
      </c>
      <c r="C6" s="44">
        <f>+Ventas!C25*Ventas!$B$4</f>
        <v>880</v>
      </c>
      <c r="D6" s="44">
        <f>+Ventas!D25*Ventas!$B$4</f>
        <v>1440</v>
      </c>
      <c r="E6" s="44">
        <f>+Ventas!E25*Ventas!$B$4</f>
        <v>2080</v>
      </c>
      <c r="F6" s="44">
        <f>+Ventas!F25*Ventas!$B$4</f>
        <v>2880</v>
      </c>
      <c r="G6" s="44">
        <f>+Ventas!G25*Ventas!$B$4</f>
        <v>3840</v>
      </c>
      <c r="H6" s="44">
        <f>+Ventas!H25*Ventas!$B$4</f>
        <v>4960</v>
      </c>
      <c r="I6" s="44">
        <f>+Ventas!I25*Ventas!$B$4</f>
        <v>6320</v>
      </c>
      <c r="J6" s="44">
        <f>+Ventas!J25*Ventas!$B$4</f>
        <v>7920</v>
      </c>
      <c r="K6" s="44">
        <f>+Ventas!K25*Ventas!$B$4</f>
        <v>9840</v>
      </c>
      <c r="L6" s="44">
        <f>+Ventas!L25*Ventas!$B$4</f>
        <v>12160</v>
      </c>
      <c r="M6" s="44">
        <f>+Ventas!M25*Ventas!$B$4</f>
        <v>14880</v>
      </c>
      <c r="N6" s="44">
        <f>+Ventas!N25*Ventas!$B$4</f>
        <v>18000</v>
      </c>
      <c r="O6" s="44">
        <f>+Ventas!O25*Ventas!$B$4</f>
        <v>21520</v>
      </c>
      <c r="P6" s="44">
        <f>+Ventas!P25*Ventas!$B$4</f>
        <v>25520</v>
      </c>
      <c r="Q6" s="44">
        <f>+Ventas!Q25*Ventas!$B$4</f>
        <v>30080</v>
      </c>
      <c r="R6" s="44">
        <f>+Ventas!R25*Ventas!$B$4</f>
        <v>35280</v>
      </c>
      <c r="S6" s="44">
        <f>+Ventas!S25*Ventas!$B$4</f>
        <v>41200</v>
      </c>
      <c r="T6" s="44">
        <f>+Ventas!T25*Ventas!$B$4</f>
        <v>47920</v>
      </c>
      <c r="U6" s="44">
        <f>+Ventas!U25*Ventas!$B$4</f>
        <v>55600</v>
      </c>
      <c r="V6" s="44">
        <f>+Ventas!V25*Ventas!$B$4</f>
        <v>64320</v>
      </c>
      <c r="W6" s="44">
        <f>+Ventas!W25*Ventas!$B$4</f>
        <v>74240</v>
      </c>
      <c r="X6" s="44">
        <f>+Ventas!X25*Ventas!$B$4</f>
        <v>85520</v>
      </c>
      <c r="Y6" s="44">
        <f>+Ventas!Y25*Ventas!$B$4</f>
        <v>98400</v>
      </c>
      <c r="Z6" s="44">
        <f>+Ventas!Z25*Ventas!$B$4</f>
        <v>111840</v>
      </c>
      <c r="AA6" s="44">
        <f>+Ventas!AA25*Ventas!$B$4</f>
        <v>125920</v>
      </c>
      <c r="AB6" s="44">
        <f>+Ventas!AB25*Ventas!$B$4</f>
        <v>140640</v>
      </c>
      <c r="AC6" s="44">
        <f>+Ventas!AC25*Ventas!$B$4</f>
        <v>156000</v>
      </c>
      <c r="AD6" s="44">
        <f>+Ventas!AD25*Ventas!$B$4</f>
        <v>172080</v>
      </c>
      <c r="AE6" s="44">
        <f>+Ventas!AE25*Ventas!$B$4</f>
        <v>188880</v>
      </c>
      <c r="AF6" s="44">
        <f>+Ventas!AF25*Ventas!$B$4</f>
        <v>206400</v>
      </c>
      <c r="AG6" s="44">
        <f>+Ventas!AG25*Ventas!$B$4</f>
        <v>224720</v>
      </c>
      <c r="AH6" s="44">
        <f>+Ventas!AH25*Ventas!$B$4</f>
        <v>243840</v>
      </c>
      <c r="AI6" s="44">
        <f>+Ventas!AI25*Ventas!$B$4</f>
        <v>263840</v>
      </c>
      <c r="AJ6" s="44">
        <f>+Ventas!AJ25*Ventas!$B$4</f>
        <v>284720</v>
      </c>
      <c r="AK6" s="44">
        <f>+Ventas!AK25*Ventas!$B$4</f>
        <v>306560</v>
      </c>
      <c r="AL6" s="44">
        <f>+Ventas!AL25*Ventas!$B$4</f>
        <v>327920</v>
      </c>
      <c r="AM6" s="44">
        <f>+Ventas!AM25*Ventas!$B$4</f>
        <v>348800</v>
      </c>
      <c r="AN6" s="44">
        <f>+Ventas!AN25*Ventas!$B$4</f>
        <v>369200</v>
      </c>
      <c r="AO6" s="44">
        <f>+Ventas!AO25*Ventas!$B$4</f>
        <v>389200</v>
      </c>
      <c r="AP6" s="44">
        <f>+Ventas!AP25*Ventas!$B$4</f>
        <v>408800</v>
      </c>
      <c r="AQ6" s="44">
        <f>+Ventas!AQ25*Ventas!$B$4</f>
        <v>428000</v>
      </c>
      <c r="AR6" s="44">
        <f>+Ventas!AR25*Ventas!$B$4</f>
        <v>446800</v>
      </c>
      <c r="AS6" s="44">
        <f>+Ventas!AS25*Ventas!$B$4</f>
        <v>465200</v>
      </c>
      <c r="AT6" s="44">
        <f>+Ventas!AT25*Ventas!$B$4</f>
        <v>483200</v>
      </c>
      <c r="AU6" s="44">
        <f>+Ventas!AU25*Ventas!$B$4</f>
        <v>500800</v>
      </c>
      <c r="AV6" s="44">
        <f>+Ventas!AV25*Ventas!$B$4</f>
        <v>518000</v>
      </c>
      <c r="AW6" s="44">
        <f>+Ventas!AW25*Ventas!$B$4</f>
        <v>534800</v>
      </c>
      <c r="AX6" s="44">
        <f>+Ventas!AX25*Ventas!$B$4</f>
        <v>550880</v>
      </c>
      <c r="AY6" s="44">
        <f>+Ventas!AY25*Ventas!$B$4</f>
        <v>566320</v>
      </c>
      <c r="AZ6" s="44">
        <f>+Ventas!AZ25*Ventas!$B$4</f>
        <v>581120</v>
      </c>
      <c r="BA6" s="44">
        <f>+Ventas!BA25*Ventas!$B$4</f>
        <v>595280</v>
      </c>
      <c r="BB6" s="44">
        <f>+Ventas!BB25*Ventas!$B$4</f>
        <v>608880</v>
      </c>
      <c r="BC6" s="44">
        <f>+Ventas!BC25*Ventas!$B$4</f>
        <v>621920</v>
      </c>
      <c r="BD6" s="44">
        <f>+Ventas!BD25*Ventas!$B$4</f>
        <v>634400</v>
      </c>
      <c r="BE6" s="44">
        <f>+Ventas!BE25*Ventas!$B$4</f>
        <v>646400</v>
      </c>
      <c r="BF6" s="44">
        <f>+Ventas!BF25*Ventas!$B$4</f>
        <v>657920</v>
      </c>
      <c r="BG6" s="44">
        <f>+Ventas!BG25*Ventas!$B$4</f>
        <v>668960</v>
      </c>
      <c r="BH6" s="44">
        <f>+Ventas!BH25*Ventas!$B$4</f>
        <v>679520</v>
      </c>
      <c r="BI6" s="44">
        <f>+Ventas!BI25*Ventas!$B$4</f>
        <v>689680</v>
      </c>
    </row>
    <row r="7" spans="1:61">
      <c r="A7" s="118" t="s">
        <v>31</v>
      </c>
      <c r="B7" s="44">
        <f>+Ventas!B26*Ventas!$B$5</f>
        <v>210</v>
      </c>
      <c r="C7" s="44">
        <f>+Ventas!C26*Ventas!$B$5</f>
        <v>450</v>
      </c>
      <c r="D7" s="44">
        <f>+Ventas!D26*Ventas!$B$5</f>
        <v>750</v>
      </c>
      <c r="E7" s="44">
        <f>+Ventas!E26*Ventas!$B$5</f>
        <v>1110</v>
      </c>
      <c r="F7" s="44">
        <f>+Ventas!F26*Ventas!$B$5</f>
        <v>1530</v>
      </c>
      <c r="G7" s="44">
        <f>+Ventas!G26*Ventas!$B$5</f>
        <v>2040</v>
      </c>
      <c r="H7" s="44">
        <f>+Ventas!H26*Ventas!$B$5</f>
        <v>2640</v>
      </c>
      <c r="I7" s="44">
        <f>+Ventas!I26*Ventas!$B$5</f>
        <v>3360</v>
      </c>
      <c r="J7" s="44">
        <f>+Ventas!J26*Ventas!$B$5</f>
        <v>4230</v>
      </c>
      <c r="K7" s="44">
        <f>+Ventas!K26*Ventas!$B$5</f>
        <v>5250</v>
      </c>
      <c r="L7" s="44">
        <f>+Ventas!L26*Ventas!$B$5</f>
        <v>6450</v>
      </c>
      <c r="M7" s="44">
        <f>+Ventas!M26*Ventas!$B$5</f>
        <v>7890</v>
      </c>
      <c r="N7" s="44">
        <f>+Ventas!N26*Ventas!$B$5</f>
        <v>9540</v>
      </c>
      <c r="O7" s="44">
        <f>+Ventas!O26*Ventas!$B$5</f>
        <v>11430</v>
      </c>
      <c r="P7" s="44">
        <f>+Ventas!P26*Ventas!$B$5</f>
        <v>13590</v>
      </c>
      <c r="Q7" s="44">
        <f>+Ventas!Q26*Ventas!$B$5</f>
        <v>16050</v>
      </c>
      <c r="R7" s="44">
        <f>+Ventas!R26*Ventas!$B$5</f>
        <v>18840</v>
      </c>
      <c r="S7" s="44">
        <f>+Ventas!S26*Ventas!$B$5</f>
        <v>22020</v>
      </c>
      <c r="T7" s="44">
        <f>+Ventas!T26*Ventas!$B$5</f>
        <v>25650</v>
      </c>
      <c r="U7" s="44">
        <f>+Ventas!U26*Ventas!$B$5</f>
        <v>29790</v>
      </c>
      <c r="V7" s="44">
        <f>+Ventas!V26*Ventas!$B$5</f>
        <v>34500</v>
      </c>
      <c r="W7" s="44">
        <f>+Ventas!W26*Ventas!$B$5</f>
        <v>39870</v>
      </c>
      <c r="X7" s="44">
        <f>+Ventas!X26*Ventas!$B$5</f>
        <v>45990</v>
      </c>
      <c r="Y7" s="44">
        <f>+Ventas!Y26*Ventas!$B$5</f>
        <v>52980</v>
      </c>
      <c r="Z7" s="44">
        <f>+Ventas!Z26*Ventas!$B$5</f>
        <v>60270</v>
      </c>
      <c r="AA7" s="44">
        <f>+Ventas!AA26*Ventas!$B$5</f>
        <v>67890</v>
      </c>
      <c r="AB7" s="44">
        <f>+Ventas!AB26*Ventas!$B$5</f>
        <v>75840</v>
      </c>
      <c r="AC7" s="44">
        <f>+Ventas!AC26*Ventas!$B$5</f>
        <v>84150</v>
      </c>
      <c r="AD7" s="44">
        <f>+Ventas!AD26*Ventas!$B$5</f>
        <v>92820</v>
      </c>
      <c r="AE7" s="44">
        <f>+Ventas!AE26*Ventas!$B$5</f>
        <v>101880</v>
      </c>
      <c r="AF7" s="44">
        <f>+Ventas!AF26*Ventas!$B$5</f>
        <v>111360</v>
      </c>
      <c r="AG7" s="44">
        <f>+Ventas!AG26*Ventas!$B$5</f>
        <v>121260</v>
      </c>
      <c r="AH7" s="44">
        <f>+Ventas!AH26*Ventas!$B$5</f>
        <v>131610</v>
      </c>
      <c r="AI7" s="44">
        <f>+Ventas!AI26*Ventas!$B$5</f>
        <v>142440</v>
      </c>
      <c r="AJ7" s="44">
        <f>+Ventas!AJ26*Ventas!$B$5</f>
        <v>153750</v>
      </c>
      <c r="AK7" s="44">
        <f>+Ventas!AK26*Ventas!$B$5</f>
        <v>165570</v>
      </c>
      <c r="AL7" s="44">
        <f>+Ventas!AL26*Ventas!$B$5</f>
        <v>177150</v>
      </c>
      <c r="AM7" s="44">
        <f>+Ventas!AM26*Ventas!$B$5</f>
        <v>188490</v>
      </c>
      <c r="AN7" s="44">
        <f>+Ventas!AN26*Ventas!$B$5</f>
        <v>199590</v>
      </c>
      <c r="AO7" s="44">
        <f>+Ventas!AO26*Ventas!$B$5</f>
        <v>210450</v>
      </c>
      <c r="AP7" s="44">
        <f>+Ventas!AP26*Ventas!$B$5</f>
        <v>221070</v>
      </c>
      <c r="AQ7" s="44">
        <f>+Ventas!AQ26*Ventas!$B$5</f>
        <v>231450</v>
      </c>
      <c r="AR7" s="44">
        <f>+Ventas!AR26*Ventas!$B$5</f>
        <v>241620</v>
      </c>
      <c r="AS7" s="44">
        <f>+Ventas!AS26*Ventas!$B$5</f>
        <v>251580</v>
      </c>
      <c r="AT7" s="44">
        <f>+Ventas!AT26*Ventas!$B$5</f>
        <v>261330</v>
      </c>
      <c r="AU7" s="44">
        <f>+Ventas!AU26*Ventas!$B$5</f>
        <v>270870</v>
      </c>
      <c r="AV7" s="44">
        <f>+Ventas!AV26*Ventas!$B$5</f>
        <v>280200</v>
      </c>
      <c r="AW7" s="44">
        <f>+Ventas!AW26*Ventas!$B$5</f>
        <v>289320</v>
      </c>
      <c r="AX7" s="44">
        <f>+Ventas!AX26*Ventas!$B$5</f>
        <v>298050</v>
      </c>
      <c r="AY7" s="44">
        <f>+Ventas!AY26*Ventas!$B$5</f>
        <v>306420</v>
      </c>
      <c r="AZ7" s="44">
        <f>+Ventas!AZ26*Ventas!$B$5</f>
        <v>314430</v>
      </c>
      <c r="BA7" s="44">
        <f>+Ventas!BA26*Ventas!$B$5</f>
        <v>322110</v>
      </c>
      <c r="BB7" s="44">
        <f>+Ventas!BB26*Ventas!$B$5</f>
        <v>329460</v>
      </c>
      <c r="BC7" s="44">
        <f>+Ventas!BC26*Ventas!$B$5</f>
        <v>336510</v>
      </c>
      <c r="BD7" s="44">
        <f>+Ventas!BD26*Ventas!$B$5</f>
        <v>343260</v>
      </c>
      <c r="BE7" s="44">
        <f>+Ventas!BE26*Ventas!$B$5</f>
        <v>349740</v>
      </c>
      <c r="BF7" s="44">
        <f>+Ventas!BF26*Ventas!$B$5</f>
        <v>355950</v>
      </c>
      <c r="BG7" s="44">
        <f>+Ventas!BG26*Ventas!$B$5</f>
        <v>361890</v>
      </c>
      <c r="BH7" s="44">
        <f>+Ventas!BH26*Ventas!$B$5</f>
        <v>367590</v>
      </c>
      <c r="BI7" s="44">
        <f>+Ventas!BI26*Ventas!$B$5</f>
        <v>373050</v>
      </c>
    </row>
    <row r="8" spans="1:61">
      <c r="A8" s="118" t="s">
        <v>159</v>
      </c>
      <c r="B8" s="44">
        <f>+Ventas!B27*Ventas!$B$6</f>
        <v>840</v>
      </c>
      <c r="C8" s="44">
        <f>+Ventas!C27*Ventas!$B$6</f>
        <v>1820</v>
      </c>
      <c r="D8" s="44">
        <f>+Ventas!D27*Ventas!$B$6</f>
        <v>3010</v>
      </c>
      <c r="E8" s="44">
        <f>+Ventas!E27*Ventas!$B$6</f>
        <v>4410</v>
      </c>
      <c r="F8" s="44">
        <f>+Ventas!F27*Ventas!$B$6</f>
        <v>6090</v>
      </c>
      <c r="G8" s="44">
        <f>+Ventas!G27*Ventas!$B$6</f>
        <v>8120</v>
      </c>
      <c r="H8" s="44">
        <f>+Ventas!H27*Ventas!$B$6</f>
        <v>10500</v>
      </c>
      <c r="I8" s="44">
        <f>+Ventas!I27*Ventas!$B$6</f>
        <v>13370</v>
      </c>
      <c r="J8" s="44">
        <f>+Ventas!J27*Ventas!$B$6</f>
        <v>16800</v>
      </c>
      <c r="K8" s="44">
        <f>+Ventas!K27*Ventas!$B$6</f>
        <v>20860</v>
      </c>
      <c r="L8" s="44">
        <f>+Ventas!L27*Ventas!$B$6</f>
        <v>25690</v>
      </c>
      <c r="M8" s="44">
        <f>+Ventas!M27*Ventas!$B$6</f>
        <v>31430</v>
      </c>
      <c r="N8" s="44">
        <f>+Ventas!N27*Ventas!$B$6</f>
        <v>76020</v>
      </c>
      <c r="O8" s="44">
        <f>+Ventas!O27*Ventas!$B$6</f>
        <v>91000</v>
      </c>
      <c r="P8" s="44">
        <f>+Ventas!P27*Ventas!$B$6</f>
        <v>108080</v>
      </c>
      <c r="Q8" s="44">
        <f>+Ventas!Q27*Ventas!$B$6</f>
        <v>127540</v>
      </c>
      <c r="R8" s="44">
        <f>+Ventas!R27*Ventas!$B$6</f>
        <v>149660</v>
      </c>
      <c r="S8" s="44">
        <f>+Ventas!S27*Ventas!$B$6</f>
        <v>174860</v>
      </c>
      <c r="T8" s="44">
        <f>+Ventas!T27*Ventas!$B$6</f>
        <v>203560</v>
      </c>
      <c r="U8" s="44">
        <f>+Ventas!U27*Ventas!$B$6</f>
        <v>236320</v>
      </c>
      <c r="V8" s="44">
        <f>+Ventas!V27*Ventas!$B$6</f>
        <v>273560</v>
      </c>
      <c r="W8" s="44">
        <f>+Ventas!W27*Ventas!$B$6</f>
        <v>315980</v>
      </c>
      <c r="X8" s="44">
        <f>+Ventas!X27*Ventas!$B$6</f>
        <v>364280</v>
      </c>
      <c r="Y8" s="44">
        <f>+Ventas!Y27*Ventas!$B$6</f>
        <v>419440</v>
      </c>
      <c r="Z8" s="44">
        <f>+Ventas!Z27*Ventas!$B$6</f>
        <v>953960</v>
      </c>
      <c r="AA8" s="44">
        <f>+Ventas!AA27*Ventas!$B$6</f>
        <v>1074360</v>
      </c>
      <c r="AB8" s="44">
        <f>+Ventas!AB27*Ventas!$B$6</f>
        <v>1200080</v>
      </c>
      <c r="AC8" s="44">
        <f>+Ventas!AC27*Ventas!$B$6</f>
        <v>1331400</v>
      </c>
      <c r="AD8" s="44">
        <f>+Ventas!AD27*Ventas!$B$6</f>
        <v>1468600</v>
      </c>
      <c r="AE8" s="44">
        <f>+Ventas!AE27*Ventas!$B$6</f>
        <v>1611960</v>
      </c>
      <c r="AF8" s="44">
        <f>+Ventas!AF27*Ventas!$B$6</f>
        <v>1761760</v>
      </c>
      <c r="AG8" s="44">
        <f>+Ventas!AG27*Ventas!$B$6</f>
        <v>1918280</v>
      </c>
      <c r="AH8" s="44">
        <f>+Ventas!AH27*Ventas!$B$6</f>
        <v>2081800</v>
      </c>
      <c r="AI8" s="44">
        <f>+Ventas!AI27*Ventas!$B$6</f>
        <v>2252880</v>
      </c>
      <c r="AJ8" s="44">
        <f>+Ventas!AJ27*Ventas!$B$6</f>
        <v>2431520</v>
      </c>
      <c r="AK8" s="44">
        <f>+Ventas!AK27*Ventas!$B$6</f>
        <v>2618280</v>
      </c>
      <c r="AL8" s="44">
        <f>+Ventas!AL27*Ventas!$B$6</f>
        <v>5602240</v>
      </c>
      <c r="AM8" s="44">
        <f>+Ventas!AM27*Ventas!$B$6</f>
        <v>5960080</v>
      </c>
      <c r="AN8" s="44">
        <f>+Ventas!AN27*Ventas!$B$6</f>
        <v>6310080</v>
      </c>
      <c r="AO8" s="44">
        <f>+Ventas!AO27*Ventas!$B$6</f>
        <v>6652800</v>
      </c>
      <c r="AP8" s="44">
        <f>+Ventas!AP27*Ventas!$B$6</f>
        <v>6988240</v>
      </c>
      <c r="AQ8" s="44">
        <f>+Ventas!AQ27*Ventas!$B$6</f>
        <v>7316400</v>
      </c>
      <c r="AR8" s="44">
        <f>+Ventas!AR27*Ventas!$B$6</f>
        <v>7637840</v>
      </c>
      <c r="AS8" s="44">
        <f>+Ventas!AS27*Ventas!$B$6</f>
        <v>7952560</v>
      </c>
      <c r="AT8" s="44">
        <f>+Ventas!AT27*Ventas!$B$6</f>
        <v>8260560</v>
      </c>
      <c r="AU8" s="44">
        <f>+Ventas!AU27*Ventas!$B$6</f>
        <v>8561840</v>
      </c>
      <c r="AV8" s="44">
        <f>+Ventas!AV27*Ventas!$B$6</f>
        <v>8856400</v>
      </c>
      <c r="AW8" s="44">
        <f>+Ventas!AW27*Ventas!$B$6</f>
        <v>9144240</v>
      </c>
      <c r="AX8" s="44">
        <f>+Ventas!AX27*Ventas!$B$6</f>
        <v>18839520</v>
      </c>
      <c r="AY8" s="44">
        <f>+Ventas!AY27*Ventas!$B$6</f>
        <v>19368160</v>
      </c>
      <c r="AZ8" s="44">
        <f>+Ventas!AZ27*Ventas!$B$6</f>
        <v>19874400</v>
      </c>
      <c r="BA8" s="44">
        <f>+Ventas!BA27*Ventas!$B$6</f>
        <v>20359360</v>
      </c>
      <c r="BB8" s="44">
        <f>+Ventas!BB27*Ventas!$B$6</f>
        <v>20824160</v>
      </c>
      <c r="BC8" s="44">
        <f>+Ventas!BC27*Ventas!$B$6</f>
        <v>21269920</v>
      </c>
      <c r="BD8" s="44">
        <f>+Ventas!BD27*Ventas!$B$6</f>
        <v>21696640</v>
      </c>
      <c r="BE8" s="44">
        <f>+Ventas!BE27*Ventas!$B$6</f>
        <v>22106560</v>
      </c>
      <c r="BF8" s="44">
        <f>+Ventas!BF27*Ventas!$B$6</f>
        <v>22499680</v>
      </c>
      <c r="BG8" s="44">
        <f>+Ventas!BG27*Ventas!$B$6</f>
        <v>22876000</v>
      </c>
      <c r="BH8" s="44">
        <f>+Ventas!BH27*Ventas!$B$6</f>
        <v>23236640</v>
      </c>
      <c r="BI8" s="44">
        <f>+Ventas!BI27*Ventas!$B$6</f>
        <v>23582720</v>
      </c>
    </row>
    <row r="9" spans="1:61" ht="15.75" thickBot="1">
      <c r="A9" s="111" t="s">
        <v>109</v>
      </c>
      <c r="B9" s="47">
        <f>-(B3*'Costos y OPEX'!$B$4+('Costos y OPEX'!$B$5*SUM(Ventas!B23:B27)))</f>
        <v>-46.03</v>
      </c>
      <c r="C9" s="47">
        <f>-(C3*'Costos y OPEX'!$B$4+('Costos y OPEX'!$B$5*SUM(Ventas!C23:C27)))</f>
        <v>-102.73500000000001</v>
      </c>
      <c r="D9" s="47">
        <f>-(D3*'Costos y OPEX'!$B$4+('Costos y OPEX'!$B$5*SUM(Ventas!D23:D27)))</f>
        <v>-171.995</v>
      </c>
      <c r="E9" s="47">
        <f>-(E3*'Costos y OPEX'!$B$4+('Costos y OPEX'!$B$5*SUM(Ventas!E23:E27)))</f>
        <v>-253.51999999999998</v>
      </c>
      <c r="F9" s="47">
        <f>-(F3*'Costos y OPEX'!$B$4+('Costos y OPEX'!$B$5*SUM(Ventas!F23:F27)))</f>
        <v>-351.56</v>
      </c>
      <c r="G9" s="47">
        <f>-(G3*'Costos y OPEX'!$B$4+('Costos y OPEX'!$B$5*SUM(Ventas!G23:G27)))</f>
        <v>-469.42</v>
      </c>
      <c r="H9" s="47">
        <f>-(H3*'Costos y OPEX'!$B$4+('Costos y OPEX'!$B$5*SUM(Ventas!H23:H27)))</f>
        <v>-608.22500000000002</v>
      </c>
      <c r="I9" s="47">
        <f>-(I3*'Costos y OPEX'!$B$4+('Costos y OPEX'!$B$5*SUM(Ventas!I23:I27)))</f>
        <v>-774.96499999999992</v>
      </c>
      <c r="J9" s="47">
        <f>-(J3*'Costos y OPEX'!$B$4+('Costos y OPEX'!$B$5*SUM(Ventas!J23:J27)))</f>
        <v>-973.79</v>
      </c>
      <c r="K9" s="47">
        <f>-(K3*'Costos y OPEX'!$B$4+('Costos y OPEX'!$B$5*SUM(Ventas!K23:K27)))</f>
        <v>-1209.51</v>
      </c>
      <c r="L9" s="47">
        <f>-(L3*'Costos y OPEX'!$B$4+('Costos y OPEX'!$B$5*SUM(Ventas!L23:L27)))</f>
        <v>-1490.2449999999999</v>
      </c>
      <c r="M9" s="47">
        <f>-(M3*'Costos y OPEX'!$B$4+('Costos y OPEX'!$B$5*SUM(Ventas!M23:M27)))*(1+$M$1)</f>
        <v>-1880.9240540640003</v>
      </c>
      <c r="N9" s="47">
        <f>-(N3*'Costos y OPEX'!$B$4+('Costos y OPEX'!$B$5*SUM(Ventas!N23:N27)))*(1+$M$1)</f>
        <v>-3338.4585205344006</v>
      </c>
      <c r="O9" s="47">
        <f>-(O3*'Costos y OPEX'!$B$4+('Costos y OPEX'!$B$5*SUM(Ventas!O23:O27)))*(1+$M$1)</f>
        <v>-4003.521206109001</v>
      </c>
      <c r="P9" s="47">
        <f>-(P3*'Costos y OPEX'!$B$4+('Costos y OPEX'!$B$5*SUM(Ventas!P23:P27)))*(1+$M$1)</f>
        <v>-4767.0069943044</v>
      </c>
      <c r="Q9" s="47">
        <f>-(Q3*'Costos y OPEX'!$B$4+('Costos y OPEX'!$B$5*SUM(Ventas!Q23:Q27)))*(1+$M$1)</f>
        <v>-5643.2133177360001</v>
      </c>
      <c r="R9" s="47">
        <f>-(R3*'Costos y OPEX'!$B$4+('Costos y OPEX'!$B$5*SUM(Ventas!R23:R27)))*(1+$M$1)</f>
        <v>-6647.3046382818002</v>
      </c>
      <c r="S9" s="47">
        <f>-(S3*'Costos y OPEX'!$B$4+('Costos y OPEX'!$B$5*SUM(Ventas!S23:S27)))*(1+$M$1)</f>
        <v>-7800.0961467252009</v>
      </c>
      <c r="T9" s="47">
        <f>-(T3*'Costos y OPEX'!$B$4+('Costos y OPEX'!$B$5*SUM(Ventas!T23:T27)))*(1+$M$1)</f>
        <v>-9123.5554951122012</v>
      </c>
      <c r="U9" s="47">
        <f>-(U3*'Costos y OPEX'!$B$4+('Costos y OPEX'!$B$5*SUM(Ventas!U23:U27)))*(1+$M$1)</f>
        <v>-10646.277548673603</v>
      </c>
      <c r="V9" s="47">
        <f>-(V3*'Costos y OPEX'!$B$4+('Costos y OPEX'!$B$5*SUM(Ventas!V23:V27)))*(1+$M$1)</f>
        <v>-12392.820313980603</v>
      </c>
      <c r="W9" s="47">
        <f>-(W3*'Costos y OPEX'!$B$4+('Costos y OPEX'!$B$5*SUM(Ventas!W23:W27)))*(1+$M$1)</f>
        <v>-14400.030472957204</v>
      </c>
      <c r="X9" s="47">
        <f>-(X3*'Costos y OPEX'!$B$4+('Costos y OPEX'!$B$5*SUM(Ventas!X23:X27)))*(1+$M$1)</f>
        <v>-16706.467299527405</v>
      </c>
      <c r="Y9" s="47">
        <f>-(Y3*'Costos y OPEX'!$B$4+('Costos y OPEX'!$B$5*SUM(Ventas!Y23:Y27)))*(1+$Y$1)^2</f>
        <v>-19981.98836141076</v>
      </c>
      <c r="Z9" s="47">
        <f>-(Z3*'Costos y OPEX'!$B$4+('Costos y OPEX'!$B$5*SUM(Ventas!Z23:Z27)))*(1+$Y$1)^2</f>
        <v>-36684.847782773657</v>
      </c>
      <c r="AA9" s="47">
        <f>-(AA3*'Costos y OPEX'!$B$4+('Costos y OPEX'!$B$5*SUM(Ventas!AA23:AA27)))*(1+$Y$1)^2</f>
        <v>-41613.740444857773</v>
      </c>
      <c r="AB9" s="47">
        <f>-(AB3*'Costos y OPEX'!$B$4+('Costos y OPEX'!$B$5*SUM(Ventas!AB23:AB27)))*(1+$Y$1)^2</f>
        <v>-46887.921554596651</v>
      </c>
      <c r="AC9" s="47">
        <f>-(AC3*'Costos y OPEX'!$B$4+('Costos y OPEX'!$B$5*SUM(Ventas!AC23:AC27)))*(1+$Y$1)^2</f>
        <v>-52547.358921346226</v>
      </c>
      <c r="AD9" s="47">
        <f>-(AD3*'Costos y OPEX'!$B$4+('Costos y OPEX'!$B$5*SUM(Ventas!AD23:AD27)))*(1+$Y$1)^2</f>
        <v>-58638.949628003989</v>
      </c>
      <c r="AE9" s="47">
        <f>-(AE3*'Costos y OPEX'!$B$4+('Costos y OPEX'!$B$5*SUM(Ventas!AE23:AE27)))*(1+$Y$1)^2</f>
        <v>-65215.648920827276</v>
      </c>
      <c r="AF9" s="47">
        <f>-(AF3*'Costos y OPEX'!$B$4+('Costos y OPEX'!$B$5*SUM(Ventas!AF23:AF27)))*(1+$Y$1)^2</f>
        <v>-72338.984546586653</v>
      </c>
      <c r="AG9" s="47">
        <f>-(AG3*'Costos y OPEX'!$B$4+('Costos y OPEX'!$B$5*SUM(Ventas!AG23:AG27)))*(1+$Y$1)^2</f>
        <v>-80080.938755281255</v>
      </c>
      <c r="AH9" s="47">
        <f>-(AH3*'Costos y OPEX'!$B$4+('Costos y OPEX'!$B$5*SUM(Ventas!AH23:AH27)))*(1+$Y$1)^2</f>
        <v>-88523.983695217146</v>
      </c>
      <c r="AI9" s="47">
        <f>-(AI3*'Costos y OPEX'!$B$4+('Costos y OPEX'!$B$5*SUM(Ventas!AI23:AI27)))*(1+$Y$1)^2</f>
        <v>-97774.473813279226</v>
      </c>
      <c r="AJ9" s="47">
        <f>-(AJ3*'Costos y OPEX'!$B$4+('Costos y OPEX'!$B$5*SUM(Ventas!AJ23:AJ27)))*(1+$Y$1)^2</f>
        <v>-107936.30860467887</v>
      </c>
      <c r="AK9" s="47">
        <f>-(AK3*'Costos y OPEX'!$B$4+('Costos y OPEX'!$B$5*SUM(Ventas!AK23:AK27)))*(1+$AK$1)^3</f>
        <v>-122877.80131599151</v>
      </c>
      <c r="AL9" s="47">
        <f>-(AL3*'Costos y OPEX'!$B$4+('Costos y OPEX'!$B$5*SUM(Ventas!AL23:AL27)))*(1+$AK$1)^3</f>
        <v>-218702.54428172644</v>
      </c>
      <c r="AM9" s="47">
        <f>-(AM3*'Costos y OPEX'!$B$4+('Costos y OPEX'!$B$5*SUM(Ventas!AM23:AM27)))*(1+$AK$1)^3</f>
        <v>-237387.53962734621</v>
      </c>
      <c r="AN9" s="47">
        <f>-(AN3*'Costos y OPEX'!$B$4+('Costos y OPEX'!$B$5*SUM(Ventas!AN23:AN27)))*(1+$AK$1)^3</f>
        <v>-257159.07621522257</v>
      </c>
      <c r="AO9" s="47">
        <f>-(AO3*'Costos y OPEX'!$B$4+('Costos y OPEX'!$B$5*SUM(Ventas!AO23:AO27)))*(1+$AK$1)^3</f>
        <v>-278287.13342248317</v>
      </c>
      <c r="AP9" s="47">
        <f>-(AP3*'Costos y OPEX'!$B$4+('Costos y OPEX'!$B$5*SUM(Ventas!AP23:AP27)))*(1+$AK$1)^3</f>
        <v>-301070.20256363507</v>
      </c>
      <c r="AQ9" s="47">
        <f>-(AQ3*'Costos y OPEX'!$B$4+('Costos y OPEX'!$B$5*SUM(Ventas!AQ23:AQ27)))*(1+$AK$1)^3</f>
        <v>-325862.39645767037</v>
      </c>
      <c r="AR9" s="47">
        <f>-(AR3*'Costos y OPEX'!$B$4+('Costos y OPEX'!$B$5*SUM(Ventas!AR23:AR27)))*(1+$AK$1)^3</f>
        <v>-353101.9818796771</v>
      </c>
      <c r="AS9" s="47">
        <f>-(AS3*'Costos y OPEX'!$B$4+('Costos y OPEX'!$B$5*SUM(Ventas!AS23:AS27)))*(1+$AK$1)^3</f>
        <v>-383288.20856496744</v>
      </c>
      <c r="AT9" s="47">
        <f>-(AT3*'Costos y OPEX'!$B$4+('Costos y OPEX'!$B$5*SUM(Ventas!AT23:AT27)))*(1+$AK$1)^3</f>
        <v>-417014.72675356013</v>
      </c>
      <c r="AU9" s="47">
        <f>-(AU3*'Costos y OPEX'!$B$4+('Costos y OPEX'!$B$5*SUM(Ventas!AU23:AU27)))*(1+$AK$1)^3</f>
        <v>-454986.13308025675</v>
      </c>
      <c r="AV9" s="47">
        <f>-(AV3*'Costos y OPEX'!$B$4+('Costos y OPEX'!$B$5*SUM(Ventas!AV23:AV27)))*(1+$AK$1)^3</f>
        <v>-498038.87796215701</v>
      </c>
      <c r="AW9" s="47">
        <f>-(AW3*'Costos y OPEX'!$B$4+('Costos y OPEX'!$B$5*SUM(Ventas!AW23:AW27)))*(1+$AW$1)^4</f>
        <v>-563300.75719127536</v>
      </c>
      <c r="AX9" s="47">
        <f>-(AX3*'Costos y OPEX'!$B$4+('Costos y OPEX'!$B$5*SUM(Ventas!AX23:AX27)))*(1+$AW$1)^4</f>
        <v>-911057.42865765397</v>
      </c>
      <c r="AY9" s="47">
        <f>-(AY3*'Costos y OPEX'!$B$4+('Costos y OPEX'!$B$5*SUM(Ventas!AY23:AY27)))*(1+$AW$1)^4</f>
        <v>-985579.64054960595</v>
      </c>
      <c r="AZ9" s="47">
        <f>-(AZ3*'Costos y OPEX'!$B$4+('Costos y OPEX'!$B$5*SUM(Ventas!AZ23:AZ27)))*(1+$AW$1)^4</f>
        <v>-1070178.340196162</v>
      </c>
      <c r="BA9" s="47">
        <f>-(BA3*'Costos y OPEX'!$B$4+('Costos y OPEX'!$B$5*SUM(Ventas!BA23:BA27)))*(1+$AW$1)^4</f>
        <v>-1166913.237301752</v>
      </c>
      <c r="BB9" s="47">
        <f>-(BB3*'Costos y OPEX'!$B$4+('Costos y OPEX'!$B$5*SUM(Ventas!BB23:BB27)))*(1+$AW$1)^4</f>
        <v>-1278224.7266277559</v>
      </c>
      <c r="BC9" s="47">
        <f>-(BC3*'Costos y OPEX'!$B$4+('Costos y OPEX'!$B$5*SUM(Ventas!BC23:BC27)))*(1+$AW$1)^4</f>
        <v>-1407002.2915426681</v>
      </c>
      <c r="BD9" s="47">
        <f>-(BD3*'Costos y OPEX'!$B$4+('Costos y OPEX'!$B$5*SUM(Ventas!BD23:BD27)))*(1+$AW$1)^4</f>
        <v>-1556635.3735690152</v>
      </c>
      <c r="BE9" s="47">
        <f>-(BE3*'Costos y OPEX'!$B$4+('Costos y OPEX'!$B$5*SUM(Ventas!BE23:BE27)))*(1+$AW$1)^4</f>
        <v>-1731220.6178651566</v>
      </c>
      <c r="BF9" s="47">
        <f>-(BF3*'Costos y OPEX'!$B$4+('Costos y OPEX'!$B$5*SUM(Ventas!BF23:BF27)))*(1+$AW$1)^4</f>
        <v>-1935537.4456685286</v>
      </c>
      <c r="BG9" s="47">
        <f>-(BG3*'Costos y OPEX'!$B$4+('Costos y OPEX'!$B$5*SUM(Ventas!BG23:BG27)))*(1+$AW$1)^4</f>
        <v>-2175261.7103523724</v>
      </c>
      <c r="BH9" s="47">
        <f>-(BH3*'Costos y OPEX'!$B$4+('Costos y OPEX'!$B$5*SUM(Ventas!BH23:BH27)))*(1+$AW$1)^4</f>
        <v>-2457168.6956620854</v>
      </c>
      <c r="BI9" s="47">
        <f>-(BI3*'Costos y OPEX'!$B$4+('Costos y OPEX'!$B$5*SUM(Ventas!BI23:BI27)))*(1+$BI$1)^5</f>
        <v>-2864969.6139301071</v>
      </c>
    </row>
    <row r="10" spans="1:61" ht="15.75" thickBot="1">
      <c r="A10" s="112" t="s">
        <v>158</v>
      </c>
      <c r="B10" s="113">
        <f t="shared" ref="B10:Y10" si="5">+B3/(-B12)</f>
        <v>2.4873203840193953E-2</v>
      </c>
      <c r="C10" s="113">
        <f t="shared" si="5"/>
        <v>5.6350672148301473E-2</v>
      </c>
      <c r="D10" s="113">
        <f t="shared" si="5"/>
        <v>9.5118562271638243E-2</v>
      </c>
      <c r="E10" s="113">
        <f t="shared" si="5"/>
        <v>0.14066225619971753</v>
      </c>
      <c r="F10" s="113">
        <f t="shared" si="5"/>
        <v>0.19555484398497314</v>
      </c>
      <c r="G10" s="113">
        <f t="shared" si="5"/>
        <v>0.26176902800093771</v>
      </c>
      <c r="H10" s="113">
        <f t="shared" si="5"/>
        <v>0.33956211725285468</v>
      </c>
      <c r="I10" s="113">
        <f t="shared" si="5"/>
        <v>0.43322259516144707</v>
      </c>
      <c r="J10" s="113">
        <f t="shared" si="5"/>
        <v>0.54498047310549091</v>
      </c>
      <c r="K10" s="113">
        <f t="shared" si="5"/>
        <v>0.67740884113742006</v>
      </c>
      <c r="L10" s="113">
        <f t="shared" si="5"/>
        <v>0.83531080068844443</v>
      </c>
      <c r="M10" s="113">
        <f t="shared" si="5"/>
        <v>1.0223744475003858</v>
      </c>
      <c r="N10" s="113">
        <f t="shared" si="5"/>
        <v>1.2915075795175215</v>
      </c>
      <c r="O10" s="113">
        <f t="shared" si="5"/>
        <v>1.5472650036930364</v>
      </c>
      <c r="P10" s="113">
        <f t="shared" si="5"/>
        <v>1.8396010739115314</v>
      </c>
      <c r="Q10" s="113">
        <f t="shared" si="5"/>
        <v>2.1736156975539984</v>
      </c>
      <c r="R10" s="113">
        <f t="shared" si="5"/>
        <v>2.5545846408766373</v>
      </c>
      <c r="S10" s="113">
        <f t="shared" si="5"/>
        <v>2.9899525962631945</v>
      </c>
      <c r="T10" s="113">
        <f t="shared" si="5"/>
        <v>3.4873401149726249</v>
      </c>
      <c r="U10" s="113">
        <f t="shared" si="5"/>
        <v>4.0569470117669129</v>
      </c>
      <c r="V10" s="113">
        <f t="shared" si="5"/>
        <v>4.7067455556554263</v>
      </c>
      <c r="W10" s="113">
        <f t="shared" si="5"/>
        <v>5.4496320641533185</v>
      </c>
      <c r="X10" s="113">
        <f t="shared" si="5"/>
        <v>6.2985028547757418</v>
      </c>
      <c r="Y10" s="113">
        <f t="shared" si="5"/>
        <v>7.2715300112940486</v>
      </c>
      <c r="Z10" s="113">
        <f t="shared" ref="Z10:AJ10" si="6">+Z3/(-Z12)</f>
        <v>11.28028444771639</v>
      </c>
      <c r="AA10" s="113">
        <f t="shared" si="6"/>
        <v>12.740125723098208</v>
      </c>
      <c r="AB10" s="113">
        <f t="shared" si="6"/>
        <v>14.279979818301248</v>
      </c>
      <c r="AC10" s="113">
        <f t="shared" si="6"/>
        <v>15.906510501781765</v>
      </c>
      <c r="AD10" s="113">
        <f t="shared" si="6"/>
        <v>17.627571500648926</v>
      </c>
      <c r="AE10" s="113">
        <f t="shared" si="6"/>
        <v>19.451397328780818</v>
      </c>
      <c r="AF10" s="113">
        <f t="shared" si="6"/>
        <v>21.387364860362318</v>
      </c>
      <c r="AG10" s="113">
        <f t="shared" si="6"/>
        <v>23.446326518307913</v>
      </c>
      <c r="AH10" s="113">
        <f t="shared" si="6"/>
        <v>25.640086692454396</v>
      </c>
      <c r="AI10" s="113">
        <f t="shared" si="6"/>
        <v>27.985590394019109</v>
      </c>
      <c r="AJ10" s="113">
        <f t="shared" si="6"/>
        <v>30.495403586376721</v>
      </c>
      <c r="AK10" s="113">
        <f t="shared" ref="AK10:AW10" si="7">+AK3/(-AK12)</f>
        <v>33.190612336856674</v>
      </c>
      <c r="AL10" s="113">
        <f t="shared" ref="AL10:AV10" si="8">+AL3/(-AL12)</f>
        <v>63.71105163412831</v>
      </c>
      <c r="AM10" s="113">
        <f t="shared" si="8"/>
        <v>68.345628710809493</v>
      </c>
      <c r="AN10" s="113">
        <f t="shared" si="8"/>
        <v>73.057836164229656</v>
      </c>
      <c r="AO10" s="113">
        <f t="shared" si="8"/>
        <v>77.883946703170764</v>
      </c>
      <c r="AP10" s="113">
        <f t="shared" si="8"/>
        <v>82.859845610953826</v>
      </c>
      <c r="AQ10" s="113">
        <f t="shared" si="8"/>
        <v>88.027955975553454</v>
      </c>
      <c r="AR10" s="113">
        <f t="shared" si="8"/>
        <v>86.143779372416205</v>
      </c>
      <c r="AS10" s="113">
        <f t="shared" si="8"/>
        <v>91.421037123460138</v>
      </c>
      <c r="AT10" s="113">
        <f t="shared" si="8"/>
        <v>97.048040549187917</v>
      </c>
      <c r="AU10" s="113">
        <f t="shared" si="8"/>
        <v>103.10260516031872</v>
      </c>
      <c r="AV10" s="113">
        <f t="shared" si="8"/>
        <v>109.6771452466911</v>
      </c>
      <c r="AW10" s="113">
        <f t="shared" si="7"/>
        <v>116.8813525523309</v>
      </c>
      <c r="AX10" s="113">
        <f t="shared" ref="AX10:BI10" si="9">+AX3/(-AX12)</f>
        <v>211.62040540662775</v>
      </c>
      <c r="AY10" s="113">
        <f t="shared" si="9"/>
        <v>222.9068010986924</v>
      </c>
      <c r="AZ10" s="113">
        <f t="shared" si="9"/>
        <v>235.1607184314388</v>
      </c>
      <c r="BA10" s="113">
        <f t="shared" si="9"/>
        <v>248.61371496109052</v>
      </c>
      <c r="BB10" s="113">
        <f t="shared" si="9"/>
        <v>263.53931805093663</v>
      </c>
      <c r="BC10" s="113">
        <f t="shared" si="9"/>
        <v>280.25971833194137</v>
      </c>
      <c r="BD10" s="113">
        <f t="shared" si="9"/>
        <v>299.14518176363646</v>
      </c>
      <c r="BE10" s="113">
        <f t="shared" si="9"/>
        <v>320.65656215420893</v>
      </c>
      <c r="BF10" s="113">
        <f t="shared" si="9"/>
        <v>345.3159494312066</v>
      </c>
      <c r="BG10" s="113">
        <f t="shared" si="9"/>
        <v>373.743528900976</v>
      </c>
      <c r="BH10" s="113">
        <f t="shared" si="9"/>
        <v>406.68589277799725</v>
      </c>
      <c r="BI10" s="113">
        <f t="shared" si="9"/>
        <v>445.02820600180303</v>
      </c>
    </row>
    <row r="11" spans="1:61">
      <c r="A11" s="8" t="s">
        <v>7</v>
      </c>
      <c r="B11" s="45">
        <f>+B3+B9</f>
        <v>1403.97</v>
      </c>
      <c r="C11" s="45">
        <f t="shared" ref="C11:Y11" si="10">+C3+C9</f>
        <v>3182.2649999999999</v>
      </c>
      <c r="D11" s="45">
        <f t="shared" si="10"/>
        <v>5373.0050000000001</v>
      </c>
      <c r="E11" s="45">
        <f t="shared" si="10"/>
        <v>7946.48</v>
      </c>
      <c r="F11" s="45">
        <f t="shared" si="10"/>
        <v>11048.44</v>
      </c>
      <c r="G11" s="45">
        <f t="shared" si="10"/>
        <v>14790.58</v>
      </c>
      <c r="H11" s="45">
        <f t="shared" si="10"/>
        <v>19186.775000000001</v>
      </c>
      <c r="I11" s="45">
        <f t="shared" si="10"/>
        <v>24480.035</v>
      </c>
      <c r="J11" s="45">
        <f t="shared" si="10"/>
        <v>30796.21</v>
      </c>
      <c r="K11" s="45">
        <f t="shared" si="10"/>
        <v>38280.49</v>
      </c>
      <c r="L11" s="45">
        <f t="shared" si="10"/>
        <v>47204.754999999997</v>
      </c>
      <c r="M11" s="45">
        <f t="shared" si="10"/>
        <v>58875.315945936003</v>
      </c>
      <c r="N11" s="45">
        <f t="shared" si="10"/>
        <v>108958.6454794656</v>
      </c>
      <c r="O11" s="45">
        <f t="shared" si="10"/>
        <v>130531.793793891</v>
      </c>
      <c r="P11" s="45">
        <f t="shared" si="10"/>
        <v>155187.04700569561</v>
      </c>
      <c r="Q11" s="45">
        <f t="shared" si="10"/>
        <v>183353.54668226402</v>
      </c>
      <c r="R11" s="45">
        <f t="shared" si="10"/>
        <v>215474.85836171822</v>
      </c>
      <c r="S11" s="45">
        <f t="shared" si="10"/>
        <v>252177.48585327482</v>
      </c>
      <c r="T11" s="45">
        <f t="shared" si="10"/>
        <v>294102.07150488783</v>
      </c>
      <c r="U11" s="45">
        <f t="shared" si="10"/>
        <v>342106.89845132641</v>
      </c>
      <c r="V11" s="45">
        <f t="shared" si="10"/>
        <v>396860.6006860194</v>
      </c>
      <c r="W11" s="45">
        <f t="shared" si="10"/>
        <v>459447.67152704287</v>
      </c>
      <c r="X11" s="45">
        <f t="shared" si="10"/>
        <v>530950.89170047268</v>
      </c>
      <c r="Y11" s="45">
        <f t="shared" si="10"/>
        <v>624546.36540138931</v>
      </c>
      <c r="Z11" s="45">
        <f t="shared" ref="Z11:AJ11" si="11">+Z3+Z9</f>
        <v>1194681.9841174264</v>
      </c>
      <c r="AA11" s="45">
        <f t="shared" si="11"/>
        <v>1349110.7862613422</v>
      </c>
      <c r="AB11" s="45">
        <f t="shared" si="11"/>
        <v>1511928.5772634037</v>
      </c>
      <c r="AC11" s="45">
        <f t="shared" si="11"/>
        <v>1683822.8127662539</v>
      </c>
      <c r="AD11" s="45">
        <f t="shared" si="11"/>
        <v>1865603.9161839965</v>
      </c>
      <c r="AE11" s="45">
        <f t="shared" si="11"/>
        <v>2058117.8198217729</v>
      </c>
      <c r="AF11" s="45">
        <f t="shared" si="11"/>
        <v>2262326.5846474133</v>
      </c>
      <c r="AG11" s="45">
        <f t="shared" si="11"/>
        <v>2479342.889461319</v>
      </c>
      <c r="AH11" s="45">
        <f t="shared" si="11"/>
        <v>2710372.8408015836</v>
      </c>
      <c r="AI11" s="45">
        <f t="shared" si="11"/>
        <v>2957159.8181421212</v>
      </c>
      <c r="AJ11" s="45">
        <f t="shared" si="11"/>
        <v>3220971.6347829215</v>
      </c>
      <c r="AK11" s="45">
        <f t="shared" ref="AK11:AW11" si="12">+AK3+AK9</f>
        <v>3570530.2724707667</v>
      </c>
      <c r="AL11" s="45">
        <f t="shared" ref="AL11:AV11" si="13">+AL3+AL9</f>
        <v>6749495.6454602741</v>
      </c>
      <c r="AM11" s="45">
        <f t="shared" si="13"/>
        <v>7237703.1086068992</v>
      </c>
      <c r="AN11" s="45">
        <f t="shared" si="13"/>
        <v>7733314.6116080601</v>
      </c>
      <c r="AO11" s="45">
        <f t="shared" si="13"/>
        <v>8240027.3898349125</v>
      </c>
      <c r="AP11" s="45">
        <f t="shared" si="13"/>
        <v>8761467.793265976</v>
      </c>
      <c r="AQ11" s="45">
        <f t="shared" si="13"/>
        <v>9301921.6024327222</v>
      </c>
      <c r="AR11" s="45">
        <f t="shared" si="13"/>
        <v>9867089.4048901834</v>
      </c>
      <c r="AS11" s="45">
        <f t="shared" si="13"/>
        <v>10463002.759694278</v>
      </c>
      <c r="AT11" s="45">
        <f t="shared" si="13"/>
        <v>11096870.029053882</v>
      </c>
      <c r="AU11" s="45">
        <f t="shared" si="13"/>
        <v>11777218.732897956</v>
      </c>
      <c r="AV11" s="45">
        <f t="shared" si="13"/>
        <v>12514176.552356722</v>
      </c>
      <c r="AW11" s="45">
        <f t="shared" si="12"/>
        <v>13572648.088771202</v>
      </c>
      <c r="AX11" s="45">
        <f t="shared" ref="AX11:BI11" si="14">+AX3+AX9</f>
        <v>24353812.507953618</v>
      </c>
      <c r="AY11" s="45">
        <f t="shared" si="14"/>
        <v>25626746.930336747</v>
      </c>
      <c r="AZ11" s="45">
        <f t="shared" si="14"/>
        <v>27005115.032171085</v>
      </c>
      <c r="BA11" s="45">
        <f t="shared" si="14"/>
        <v>28514502.223936085</v>
      </c>
      <c r="BB11" s="45">
        <f t="shared" si="14"/>
        <v>30185123.909087572</v>
      </c>
      <c r="BC11" s="45">
        <f t="shared" si="14"/>
        <v>32052556.197262909</v>
      </c>
      <c r="BD11" s="45">
        <f t="shared" si="14"/>
        <v>34157614.842046104</v>
      </c>
      <c r="BE11" s="45">
        <f t="shared" si="14"/>
        <v>36551223.466769747</v>
      </c>
      <c r="BF11" s="45">
        <f t="shared" si="14"/>
        <v>39290933.757111013</v>
      </c>
      <c r="BG11" s="45">
        <f t="shared" si="14"/>
        <v>42445112.346626639</v>
      </c>
      <c r="BH11" s="45">
        <f t="shared" si="14"/>
        <v>46096117.866414115</v>
      </c>
      <c r="BI11" s="45">
        <f t="shared" si="14"/>
        <v>51296656.093878686</v>
      </c>
    </row>
    <row r="12" spans="1:61">
      <c r="A12" s="10" t="s">
        <v>14</v>
      </c>
      <c r="B12" s="46">
        <f>+SUM(B13:B26)</f>
        <v>-58295.666666666672</v>
      </c>
      <c r="C12" s="46">
        <f t="shared" ref="C12:L12" si="15">+SUM(C13:C26)</f>
        <v>-58295.666666666672</v>
      </c>
      <c r="D12" s="46">
        <f t="shared" si="15"/>
        <v>-58295.666666666672</v>
      </c>
      <c r="E12" s="46">
        <f t="shared" si="15"/>
        <v>-58295.666666666672</v>
      </c>
      <c r="F12" s="46">
        <f t="shared" si="15"/>
        <v>-58295.666666666672</v>
      </c>
      <c r="G12" s="46">
        <f t="shared" si="15"/>
        <v>-58295.666666666672</v>
      </c>
      <c r="H12" s="46">
        <f t="shared" si="15"/>
        <v>-58295.666666666672</v>
      </c>
      <c r="I12" s="46">
        <f t="shared" si="15"/>
        <v>-58295.666666666672</v>
      </c>
      <c r="J12" s="46">
        <f t="shared" si="15"/>
        <v>-58295.666666666672</v>
      </c>
      <c r="K12" s="46">
        <f t="shared" si="15"/>
        <v>-58295.666666666672</v>
      </c>
      <c r="L12" s="46">
        <f t="shared" si="15"/>
        <v>-58295.666666666672</v>
      </c>
      <c r="M12" s="46">
        <f>+SUM(M13:M26)*(1+$M$1)</f>
        <v>-59426.602600000013</v>
      </c>
      <c r="N12" s="46">
        <f t="shared" ref="N12:X12" si="16">+SUM(N13:N26)*(1+$M$1)</f>
        <v>-86950.402600000001</v>
      </c>
      <c r="O12" s="46">
        <f t="shared" si="16"/>
        <v>-86950.402600000001</v>
      </c>
      <c r="P12" s="46">
        <f t="shared" si="16"/>
        <v>-86950.402600000001</v>
      </c>
      <c r="Q12" s="46">
        <f t="shared" si="16"/>
        <v>-86950.402600000001</v>
      </c>
      <c r="R12" s="46">
        <f t="shared" si="16"/>
        <v>-86950.402600000001</v>
      </c>
      <c r="S12" s="46">
        <f t="shared" si="16"/>
        <v>-86950.402600000001</v>
      </c>
      <c r="T12" s="46">
        <f t="shared" si="16"/>
        <v>-86950.402600000001</v>
      </c>
      <c r="U12" s="46">
        <f t="shared" si="16"/>
        <v>-86950.402600000001</v>
      </c>
      <c r="V12" s="46">
        <f t="shared" si="16"/>
        <v>-86950.402600000001</v>
      </c>
      <c r="W12" s="46">
        <f t="shared" si="16"/>
        <v>-86950.402600000001</v>
      </c>
      <c r="X12" s="46">
        <f t="shared" si="16"/>
        <v>-86950.402600000001</v>
      </c>
      <c r="Y12" s="46">
        <f>+SUM(Y13:Y26)*(1+$Y$1)^2</f>
        <v>-88637.240410440005</v>
      </c>
      <c r="Z12" s="46">
        <f t="shared" ref="Z12:AJ12" si="17">+SUM(Z13:Z26)*(1+$Y$1)^2</f>
        <v>-109160.97352044001</v>
      </c>
      <c r="AA12" s="46">
        <f t="shared" si="17"/>
        <v>-109160.97352044001</v>
      </c>
      <c r="AB12" s="46">
        <f t="shared" si="17"/>
        <v>-109160.97352044001</v>
      </c>
      <c r="AC12" s="46">
        <f t="shared" si="17"/>
        <v>-109160.97352044001</v>
      </c>
      <c r="AD12" s="46">
        <f t="shared" si="17"/>
        <v>-109160.97352044001</v>
      </c>
      <c r="AE12" s="46">
        <f t="shared" si="17"/>
        <v>-109160.97352044001</v>
      </c>
      <c r="AF12" s="46">
        <f t="shared" si="17"/>
        <v>-109160.97352044001</v>
      </c>
      <c r="AG12" s="46">
        <f t="shared" si="17"/>
        <v>-109160.97352044001</v>
      </c>
      <c r="AH12" s="46">
        <f t="shared" si="17"/>
        <v>-109160.97352044001</v>
      </c>
      <c r="AI12" s="46">
        <f t="shared" si="17"/>
        <v>-109160.97352044001</v>
      </c>
      <c r="AJ12" s="46">
        <f t="shared" si="17"/>
        <v>-109160.97352044001</v>
      </c>
      <c r="AK12" s="46">
        <f>+SUM(AK13:AK26)*(1+$AK$1)^3</f>
        <v>-111278.69640673655</v>
      </c>
      <c r="AL12" s="46">
        <f t="shared" ref="AL12:AV12" si="18">+SUM(AL13:AL26)*(1+$AK$1)^3</f>
        <v>-109371.89092024535</v>
      </c>
      <c r="AM12" s="46">
        <f t="shared" si="18"/>
        <v>-109371.89092024535</v>
      </c>
      <c r="AN12" s="46">
        <f t="shared" si="18"/>
        <v>-109371.89092024535</v>
      </c>
      <c r="AO12" s="46">
        <f t="shared" si="18"/>
        <v>-109371.89092024535</v>
      </c>
      <c r="AP12" s="46">
        <f t="shared" si="18"/>
        <v>-109371.89092024535</v>
      </c>
      <c r="AQ12" s="46">
        <f t="shared" si="18"/>
        <v>-109371.89092024535</v>
      </c>
      <c r="AR12" s="46">
        <f t="shared" si="18"/>
        <v>-118641.08425735535</v>
      </c>
      <c r="AS12" s="46">
        <f t="shared" si="18"/>
        <v>-118641.08425735535</v>
      </c>
      <c r="AT12" s="46">
        <f t="shared" si="18"/>
        <v>-118641.08425735535</v>
      </c>
      <c r="AU12" s="46">
        <f t="shared" si="18"/>
        <v>-118641.08425735535</v>
      </c>
      <c r="AV12" s="46">
        <f t="shared" si="18"/>
        <v>-118641.08425735535</v>
      </c>
      <c r="AW12" s="46">
        <f>+SUM(AW13:AW26)*(1+$AW$1)^4</f>
        <v>-120942.72129194807</v>
      </c>
      <c r="AX12" s="46">
        <f t="shared" ref="AX12:BH12" si="19">+SUM(AX13:AX26)*(1+$AW$1)^4</f>
        <v>-119387.68328160475</v>
      </c>
      <c r="AY12" s="46">
        <f t="shared" si="19"/>
        <v>-119387.68328160475</v>
      </c>
      <c r="AZ12" s="46">
        <f t="shared" si="19"/>
        <v>-119387.68328160475</v>
      </c>
      <c r="BA12" s="46">
        <f t="shared" si="19"/>
        <v>-119387.68328160475</v>
      </c>
      <c r="BB12" s="46">
        <f t="shared" si="19"/>
        <v>-119387.68328160475</v>
      </c>
      <c r="BC12" s="46">
        <f t="shared" si="19"/>
        <v>-119387.68328160475</v>
      </c>
      <c r="BD12" s="46">
        <f t="shared" si="19"/>
        <v>-119387.68328160475</v>
      </c>
      <c r="BE12" s="46">
        <f t="shared" si="19"/>
        <v>-119387.68328160475</v>
      </c>
      <c r="BF12" s="46">
        <f t="shared" si="19"/>
        <v>-119387.68328160475</v>
      </c>
      <c r="BG12" s="46">
        <f t="shared" si="19"/>
        <v>-119387.68328160475</v>
      </c>
      <c r="BH12" s="46">
        <f t="shared" si="19"/>
        <v>-119387.68328160475</v>
      </c>
      <c r="BI12" s="46">
        <f>+SUM(BI13:BI26)*(1+$BI$1)^5</f>
        <v>-121703.80433726791</v>
      </c>
    </row>
    <row r="13" spans="1:61">
      <c r="A13" s="2" t="s">
        <v>3</v>
      </c>
      <c r="B13" s="47">
        <f>-'Costos y OPEX'!$C$8</f>
        <v>-21000</v>
      </c>
      <c r="C13" s="47">
        <f t="shared" ref="C13" si="20">+B13</f>
        <v>-21000</v>
      </c>
      <c r="D13" s="47">
        <f t="shared" ref="D13:D17" si="21">+C13</f>
        <v>-21000</v>
      </c>
      <c r="E13" s="47">
        <f t="shared" ref="E13:E17" si="22">+D13</f>
        <v>-21000</v>
      </c>
      <c r="F13" s="47">
        <f t="shared" ref="F13:F17" si="23">+E13</f>
        <v>-21000</v>
      </c>
      <c r="G13" s="47">
        <f t="shared" ref="G13:G17" si="24">+F13</f>
        <v>-21000</v>
      </c>
      <c r="H13" s="47">
        <f t="shared" ref="H13:H17" si="25">+G13</f>
        <v>-21000</v>
      </c>
      <c r="I13" s="47">
        <f t="shared" ref="I13:I17" si="26">+H13</f>
        <v>-21000</v>
      </c>
      <c r="J13" s="47">
        <f t="shared" ref="J13:J17" si="27">+I13</f>
        <v>-21000</v>
      </c>
      <c r="K13" s="47">
        <f t="shared" ref="K13:K17" si="28">+J13</f>
        <v>-21000</v>
      </c>
      <c r="L13" s="47">
        <f t="shared" ref="L13:L17" si="29">+K13</f>
        <v>-21000</v>
      </c>
      <c r="M13" s="47">
        <f t="shared" ref="M13:M17" si="30">+L13</f>
        <v>-21000</v>
      </c>
      <c r="N13" s="47">
        <f>-'Costos y OPEX'!$D$8</f>
        <v>-48000</v>
      </c>
      <c r="O13" s="47">
        <f t="shared" ref="O13:O17" si="31">+N13</f>
        <v>-48000</v>
      </c>
      <c r="P13" s="47">
        <f t="shared" ref="P13:P17" si="32">+O13</f>
        <v>-48000</v>
      </c>
      <c r="Q13" s="47">
        <f t="shared" ref="Q13:Q17" si="33">+P13</f>
        <v>-48000</v>
      </c>
      <c r="R13" s="47">
        <f t="shared" ref="R13:R17" si="34">+Q13</f>
        <v>-48000</v>
      </c>
      <c r="S13" s="47">
        <f t="shared" ref="S13:S17" si="35">+R13</f>
        <v>-48000</v>
      </c>
      <c r="T13" s="47">
        <f t="shared" ref="T13:T17" si="36">+S13</f>
        <v>-48000</v>
      </c>
      <c r="U13" s="47">
        <f t="shared" ref="U13:U17" si="37">+T13</f>
        <v>-48000</v>
      </c>
      <c r="V13" s="47">
        <f t="shared" ref="V13:V17" si="38">+U13</f>
        <v>-48000</v>
      </c>
      <c r="W13" s="47">
        <f t="shared" ref="W13:W17" si="39">+V13</f>
        <v>-48000</v>
      </c>
      <c r="X13" s="47">
        <f t="shared" ref="X13:X17" si="40">+W13</f>
        <v>-48000</v>
      </c>
      <c r="Y13" s="47">
        <f t="shared" ref="Y13:Y17" si="41">+X13</f>
        <v>-48000</v>
      </c>
      <c r="Z13" s="47">
        <f>-'Costos y OPEX'!$E$8</f>
        <v>-70000</v>
      </c>
      <c r="AA13" s="47">
        <f t="shared" ref="AA13:AA17" si="42">+Z13</f>
        <v>-70000</v>
      </c>
      <c r="AB13" s="47">
        <f t="shared" ref="AB13:AB17" si="43">+AA13</f>
        <v>-70000</v>
      </c>
      <c r="AC13" s="47">
        <f t="shared" ref="AC13:AC17" si="44">+AB13</f>
        <v>-70000</v>
      </c>
      <c r="AD13" s="47">
        <f t="shared" ref="AD13:AD17" si="45">+AC13</f>
        <v>-70000</v>
      </c>
      <c r="AE13" s="47">
        <f t="shared" ref="AE13:AE17" si="46">+AD13</f>
        <v>-70000</v>
      </c>
      <c r="AF13" s="47">
        <f t="shared" ref="AF13:AF17" si="47">+AE13</f>
        <v>-70000</v>
      </c>
      <c r="AG13" s="47">
        <f t="shared" ref="AG13:AG17" si="48">+AF13</f>
        <v>-70000</v>
      </c>
      <c r="AH13" s="47">
        <f t="shared" ref="AH13:AH17" si="49">+AG13</f>
        <v>-70000</v>
      </c>
      <c r="AI13" s="47">
        <f t="shared" ref="AI13:AI17" si="50">+AH13</f>
        <v>-70000</v>
      </c>
      <c r="AJ13" s="47">
        <f t="shared" ref="AJ13:AJ17" si="51">+AI13</f>
        <v>-70000</v>
      </c>
      <c r="AK13" s="47">
        <f t="shared" ref="AK13:AK17" si="52">+AJ13</f>
        <v>-70000</v>
      </c>
      <c r="AL13" s="47">
        <f t="shared" ref="AL13:AL17" si="53">+AK13</f>
        <v>-70000</v>
      </c>
      <c r="AM13" s="47">
        <f t="shared" ref="AM13:AM17" si="54">+AL13</f>
        <v>-70000</v>
      </c>
      <c r="AN13" s="47">
        <f t="shared" ref="AN13:AN17" si="55">+AM13</f>
        <v>-70000</v>
      </c>
      <c r="AO13" s="47">
        <f t="shared" ref="AO13:AO17" si="56">+AN13</f>
        <v>-70000</v>
      </c>
      <c r="AP13" s="47">
        <f t="shared" ref="AP13:AP17" si="57">+AO13</f>
        <v>-70000</v>
      </c>
      <c r="AQ13" s="47">
        <f t="shared" ref="AQ13:AQ17" si="58">+AP13</f>
        <v>-70000</v>
      </c>
      <c r="AR13" s="47">
        <f t="shared" ref="AR13:AR17" si="59">+AQ13</f>
        <v>-70000</v>
      </c>
      <c r="AS13" s="47">
        <f t="shared" ref="AS13:AS17" si="60">+AR13</f>
        <v>-70000</v>
      </c>
      <c r="AT13" s="47">
        <f t="shared" ref="AT13:AT17" si="61">+AS13</f>
        <v>-70000</v>
      </c>
      <c r="AU13" s="47">
        <f t="shared" ref="AU13:AU17" si="62">+AT13</f>
        <v>-70000</v>
      </c>
      <c r="AV13" s="47">
        <f t="shared" ref="AV13:AV17" si="63">+AU13</f>
        <v>-70000</v>
      </c>
      <c r="AW13" s="47">
        <f t="shared" ref="AW13:AW17" si="64">+AV13</f>
        <v>-70000</v>
      </c>
      <c r="AX13" s="47">
        <f t="shared" ref="AX13:AX17" si="65">+AW13</f>
        <v>-70000</v>
      </c>
      <c r="AY13" s="47">
        <f t="shared" ref="AY13:AY17" si="66">+AX13</f>
        <v>-70000</v>
      </c>
      <c r="AZ13" s="47">
        <f t="shared" ref="AZ13:AZ17" si="67">+AY13</f>
        <v>-70000</v>
      </c>
      <c r="BA13" s="47">
        <f t="shared" ref="BA13:BA17" si="68">+AZ13</f>
        <v>-70000</v>
      </c>
      <c r="BB13" s="47">
        <f t="shared" ref="BB13:BB17" si="69">+BA13</f>
        <v>-70000</v>
      </c>
      <c r="BC13" s="47">
        <f t="shared" ref="BC13:BC17" si="70">+BB13</f>
        <v>-70000</v>
      </c>
      <c r="BD13" s="47">
        <f t="shared" ref="BD13:BD17" si="71">+BC13</f>
        <v>-70000</v>
      </c>
      <c r="BE13" s="47">
        <f t="shared" ref="BE13:BE17" si="72">+BD13</f>
        <v>-70000</v>
      </c>
      <c r="BF13" s="47">
        <f t="shared" ref="BF13:BF17" si="73">+BE13</f>
        <v>-70000</v>
      </c>
      <c r="BG13" s="47">
        <f t="shared" ref="BG13:BG17" si="74">+BF13</f>
        <v>-70000</v>
      </c>
      <c r="BH13" s="47">
        <f t="shared" ref="BH13:BH17" si="75">+BG13</f>
        <v>-70000</v>
      </c>
      <c r="BI13" s="47">
        <f t="shared" ref="BI13:BI17" si="76">+BH13</f>
        <v>-70000</v>
      </c>
    </row>
    <row r="14" spans="1:61">
      <c r="A14" s="2" t="s">
        <v>174</v>
      </c>
      <c r="B14" s="47">
        <f>-'Costos y OPEX'!$B$14</f>
        <v>-20000</v>
      </c>
      <c r="C14" s="47">
        <f t="shared" ref="C14" si="77">+B14</f>
        <v>-20000</v>
      </c>
      <c r="D14" s="47">
        <f t="shared" si="21"/>
        <v>-20000</v>
      </c>
      <c r="E14" s="47">
        <f t="shared" si="22"/>
        <v>-20000</v>
      </c>
      <c r="F14" s="47">
        <f t="shared" si="23"/>
        <v>-20000</v>
      </c>
      <c r="G14" s="47">
        <f t="shared" si="24"/>
        <v>-20000</v>
      </c>
      <c r="H14" s="47">
        <f t="shared" si="25"/>
        <v>-20000</v>
      </c>
      <c r="I14" s="47">
        <f t="shared" si="26"/>
        <v>-20000</v>
      </c>
      <c r="J14" s="47">
        <f t="shared" si="27"/>
        <v>-20000</v>
      </c>
      <c r="K14" s="47">
        <f t="shared" si="28"/>
        <v>-20000</v>
      </c>
      <c r="L14" s="47">
        <f t="shared" si="29"/>
        <v>-20000</v>
      </c>
      <c r="M14" s="47">
        <f t="shared" si="30"/>
        <v>-20000</v>
      </c>
      <c r="N14" s="47">
        <f t="shared" ref="N14:N17" si="78">+M14</f>
        <v>-20000</v>
      </c>
      <c r="O14" s="47">
        <f t="shared" si="31"/>
        <v>-20000</v>
      </c>
      <c r="P14" s="47">
        <f t="shared" si="32"/>
        <v>-20000</v>
      </c>
      <c r="Q14" s="47">
        <f t="shared" si="33"/>
        <v>-20000</v>
      </c>
      <c r="R14" s="47">
        <f t="shared" si="34"/>
        <v>-20000</v>
      </c>
      <c r="S14" s="47">
        <f t="shared" si="35"/>
        <v>-20000</v>
      </c>
      <c r="T14" s="47">
        <f t="shared" si="36"/>
        <v>-20000</v>
      </c>
      <c r="U14" s="47">
        <f t="shared" si="37"/>
        <v>-20000</v>
      </c>
      <c r="V14" s="47">
        <f t="shared" si="38"/>
        <v>-20000</v>
      </c>
      <c r="W14" s="47">
        <f t="shared" si="39"/>
        <v>-20000</v>
      </c>
      <c r="X14" s="47">
        <f t="shared" si="40"/>
        <v>-20000</v>
      </c>
      <c r="Y14" s="47">
        <f t="shared" si="41"/>
        <v>-20000</v>
      </c>
      <c r="Z14" s="47">
        <f t="shared" ref="Z14:Z17" si="79">+Y14</f>
        <v>-20000</v>
      </c>
      <c r="AA14" s="47">
        <f t="shared" si="42"/>
        <v>-20000</v>
      </c>
      <c r="AB14" s="47">
        <f t="shared" si="43"/>
        <v>-20000</v>
      </c>
      <c r="AC14" s="47">
        <f t="shared" si="44"/>
        <v>-20000</v>
      </c>
      <c r="AD14" s="47">
        <f t="shared" si="45"/>
        <v>-20000</v>
      </c>
      <c r="AE14" s="47">
        <f t="shared" si="46"/>
        <v>-20000</v>
      </c>
      <c r="AF14" s="47">
        <f t="shared" si="47"/>
        <v>-20000</v>
      </c>
      <c r="AG14" s="47">
        <f t="shared" si="48"/>
        <v>-20000</v>
      </c>
      <c r="AH14" s="47">
        <f t="shared" si="49"/>
        <v>-20000</v>
      </c>
      <c r="AI14" s="47">
        <f t="shared" si="50"/>
        <v>-20000</v>
      </c>
      <c r="AJ14" s="47">
        <f t="shared" si="51"/>
        <v>-20000</v>
      </c>
      <c r="AK14" s="47">
        <f t="shared" si="52"/>
        <v>-20000</v>
      </c>
      <c r="AL14" s="47">
        <f t="shared" si="53"/>
        <v>-20000</v>
      </c>
      <c r="AM14" s="47">
        <f t="shared" si="54"/>
        <v>-20000</v>
      </c>
      <c r="AN14" s="47">
        <f t="shared" si="55"/>
        <v>-20000</v>
      </c>
      <c r="AO14" s="47">
        <f t="shared" si="56"/>
        <v>-20000</v>
      </c>
      <c r="AP14" s="47">
        <f t="shared" si="57"/>
        <v>-20000</v>
      </c>
      <c r="AQ14" s="47">
        <f t="shared" si="58"/>
        <v>-20000</v>
      </c>
      <c r="AR14" s="47">
        <f t="shared" si="59"/>
        <v>-20000</v>
      </c>
      <c r="AS14" s="47">
        <f t="shared" si="60"/>
        <v>-20000</v>
      </c>
      <c r="AT14" s="47">
        <f t="shared" si="61"/>
        <v>-20000</v>
      </c>
      <c r="AU14" s="47">
        <f t="shared" si="62"/>
        <v>-20000</v>
      </c>
      <c r="AV14" s="47">
        <f t="shared" si="63"/>
        <v>-20000</v>
      </c>
      <c r="AW14" s="47">
        <f t="shared" si="64"/>
        <v>-20000</v>
      </c>
      <c r="AX14" s="47">
        <f t="shared" si="65"/>
        <v>-20000</v>
      </c>
      <c r="AY14" s="47">
        <f t="shared" si="66"/>
        <v>-20000</v>
      </c>
      <c r="AZ14" s="47">
        <f t="shared" si="67"/>
        <v>-20000</v>
      </c>
      <c r="BA14" s="47">
        <f t="shared" si="68"/>
        <v>-20000</v>
      </c>
      <c r="BB14" s="47">
        <f t="shared" si="69"/>
        <v>-20000</v>
      </c>
      <c r="BC14" s="47">
        <f t="shared" si="70"/>
        <v>-20000</v>
      </c>
      <c r="BD14" s="47">
        <f t="shared" si="71"/>
        <v>-20000</v>
      </c>
      <c r="BE14" s="47">
        <f t="shared" si="72"/>
        <v>-20000</v>
      </c>
      <c r="BF14" s="47">
        <f t="shared" si="73"/>
        <v>-20000</v>
      </c>
      <c r="BG14" s="47">
        <f t="shared" si="74"/>
        <v>-20000</v>
      </c>
      <c r="BH14" s="47">
        <f t="shared" si="75"/>
        <v>-20000</v>
      </c>
      <c r="BI14" s="47">
        <f t="shared" si="76"/>
        <v>-20000</v>
      </c>
    </row>
    <row r="15" spans="1:61">
      <c r="A15" s="2" t="s">
        <v>110</v>
      </c>
      <c r="B15" s="47">
        <f>-'Costos y OPEX'!B15</f>
        <v>-18</v>
      </c>
      <c r="C15" s="47">
        <f>+B15</f>
        <v>-18</v>
      </c>
      <c r="D15" s="47">
        <f t="shared" si="21"/>
        <v>-18</v>
      </c>
      <c r="E15" s="47">
        <f t="shared" si="22"/>
        <v>-18</v>
      </c>
      <c r="F15" s="47">
        <f t="shared" si="23"/>
        <v>-18</v>
      </c>
      <c r="G15" s="47">
        <f t="shared" si="24"/>
        <v>-18</v>
      </c>
      <c r="H15" s="47">
        <f t="shared" si="25"/>
        <v>-18</v>
      </c>
      <c r="I15" s="47">
        <f t="shared" si="26"/>
        <v>-18</v>
      </c>
      <c r="J15" s="47">
        <f t="shared" si="27"/>
        <v>-18</v>
      </c>
      <c r="K15" s="47">
        <f t="shared" si="28"/>
        <v>-18</v>
      </c>
      <c r="L15" s="47">
        <f t="shared" si="29"/>
        <v>-18</v>
      </c>
      <c r="M15" s="47">
        <f t="shared" si="30"/>
        <v>-18</v>
      </c>
      <c r="N15" s="47">
        <f t="shared" si="78"/>
        <v>-18</v>
      </c>
      <c r="O15" s="47">
        <f t="shared" si="31"/>
        <v>-18</v>
      </c>
      <c r="P15" s="47">
        <f t="shared" si="32"/>
        <v>-18</v>
      </c>
      <c r="Q15" s="47">
        <f t="shared" si="33"/>
        <v>-18</v>
      </c>
      <c r="R15" s="47">
        <f t="shared" si="34"/>
        <v>-18</v>
      </c>
      <c r="S15" s="47">
        <f t="shared" si="35"/>
        <v>-18</v>
      </c>
      <c r="T15" s="47">
        <f t="shared" si="36"/>
        <v>-18</v>
      </c>
      <c r="U15" s="47">
        <f t="shared" si="37"/>
        <v>-18</v>
      </c>
      <c r="V15" s="47">
        <f t="shared" si="38"/>
        <v>-18</v>
      </c>
      <c r="W15" s="47">
        <f t="shared" si="39"/>
        <v>-18</v>
      </c>
      <c r="X15" s="47">
        <f t="shared" si="40"/>
        <v>-18</v>
      </c>
      <c r="Y15" s="47">
        <f t="shared" si="41"/>
        <v>-18</v>
      </c>
      <c r="Z15" s="47">
        <f t="shared" si="79"/>
        <v>-18</v>
      </c>
      <c r="AA15" s="47">
        <f t="shared" si="42"/>
        <v>-18</v>
      </c>
      <c r="AB15" s="47">
        <f t="shared" si="43"/>
        <v>-18</v>
      </c>
      <c r="AC15" s="47">
        <f t="shared" si="44"/>
        <v>-18</v>
      </c>
      <c r="AD15" s="47">
        <f t="shared" si="45"/>
        <v>-18</v>
      </c>
      <c r="AE15" s="47">
        <f t="shared" si="46"/>
        <v>-18</v>
      </c>
      <c r="AF15" s="47">
        <f t="shared" si="47"/>
        <v>-18</v>
      </c>
      <c r="AG15" s="47">
        <f t="shared" si="48"/>
        <v>-18</v>
      </c>
      <c r="AH15" s="47">
        <f t="shared" si="49"/>
        <v>-18</v>
      </c>
      <c r="AI15" s="47">
        <f t="shared" si="50"/>
        <v>-18</v>
      </c>
      <c r="AJ15" s="47">
        <f t="shared" si="51"/>
        <v>-18</v>
      </c>
      <c r="AK15" s="47">
        <f t="shared" si="52"/>
        <v>-18</v>
      </c>
      <c r="AL15" s="47">
        <f t="shared" si="53"/>
        <v>-18</v>
      </c>
      <c r="AM15" s="47">
        <f t="shared" si="54"/>
        <v>-18</v>
      </c>
      <c r="AN15" s="47">
        <f t="shared" si="55"/>
        <v>-18</v>
      </c>
      <c r="AO15" s="47">
        <f t="shared" si="56"/>
        <v>-18</v>
      </c>
      <c r="AP15" s="47">
        <f t="shared" si="57"/>
        <v>-18</v>
      </c>
      <c r="AQ15" s="47">
        <f t="shared" si="58"/>
        <v>-18</v>
      </c>
      <c r="AR15" s="47">
        <f t="shared" si="59"/>
        <v>-18</v>
      </c>
      <c r="AS15" s="47">
        <f t="shared" si="60"/>
        <v>-18</v>
      </c>
      <c r="AT15" s="47">
        <f t="shared" si="61"/>
        <v>-18</v>
      </c>
      <c r="AU15" s="47">
        <f t="shared" si="62"/>
        <v>-18</v>
      </c>
      <c r="AV15" s="47">
        <f t="shared" si="63"/>
        <v>-18</v>
      </c>
      <c r="AW15" s="47">
        <f t="shared" si="64"/>
        <v>-18</v>
      </c>
      <c r="AX15" s="47">
        <f t="shared" si="65"/>
        <v>-18</v>
      </c>
      <c r="AY15" s="47">
        <f t="shared" si="66"/>
        <v>-18</v>
      </c>
      <c r="AZ15" s="47">
        <f t="shared" si="67"/>
        <v>-18</v>
      </c>
      <c r="BA15" s="47">
        <f t="shared" si="68"/>
        <v>-18</v>
      </c>
      <c r="BB15" s="47">
        <f t="shared" si="69"/>
        <v>-18</v>
      </c>
      <c r="BC15" s="47">
        <f t="shared" si="70"/>
        <v>-18</v>
      </c>
      <c r="BD15" s="47">
        <f t="shared" si="71"/>
        <v>-18</v>
      </c>
      <c r="BE15" s="47">
        <f t="shared" si="72"/>
        <v>-18</v>
      </c>
      <c r="BF15" s="47">
        <f t="shared" si="73"/>
        <v>-18</v>
      </c>
      <c r="BG15" s="47">
        <f t="shared" si="74"/>
        <v>-18</v>
      </c>
      <c r="BH15" s="47">
        <f t="shared" si="75"/>
        <v>-18</v>
      </c>
      <c r="BI15" s="47">
        <f t="shared" si="76"/>
        <v>-18</v>
      </c>
    </row>
    <row r="16" spans="1:61">
      <c r="A16" s="53" t="s">
        <v>142</v>
      </c>
      <c r="B16" s="47">
        <f>IF((Ventas!B23+Ventas!B24)&lt;250000,-'Costos y OPEX'!$B$16,-'Costos y OPEX'!$C$16)</f>
        <v>-1150</v>
      </c>
      <c r="C16" s="47">
        <f>IF((Ventas!C23+Ventas!C24)&lt;250000,-'Costos y OPEX'!$B$16,-'Costos y OPEX'!$C$16)</f>
        <v>-1150</v>
      </c>
      <c r="D16" s="47">
        <f>IF((Ventas!D23+Ventas!D24)&lt;250000,-'Costos y OPEX'!$B$16,-'Costos y OPEX'!$C$16)</f>
        <v>-1150</v>
      </c>
      <c r="E16" s="47">
        <f>IF((Ventas!E23+Ventas!E24)&lt;250000,-'Costos y OPEX'!$B$16,-'Costos y OPEX'!$C$16)</f>
        <v>-1150</v>
      </c>
      <c r="F16" s="47">
        <f>IF((Ventas!F23+Ventas!F24)&lt;250000,-'Costos y OPEX'!$B$16,-'Costos y OPEX'!$C$16)</f>
        <v>-1150</v>
      </c>
      <c r="G16" s="47">
        <f>IF((Ventas!G23+Ventas!G24)&lt;250000,-'Costos y OPEX'!$B$16,-'Costos y OPEX'!$C$16)</f>
        <v>-1150</v>
      </c>
      <c r="H16" s="47">
        <f>IF((Ventas!H23+Ventas!H24)&lt;250000,-'Costos y OPEX'!$B$16,-'Costos y OPEX'!$C$16)</f>
        <v>-1150</v>
      </c>
      <c r="I16" s="47">
        <f>IF((Ventas!I23+Ventas!I24)&lt;250000,-'Costos y OPEX'!$B$16,-'Costos y OPEX'!$C$16)</f>
        <v>-1150</v>
      </c>
      <c r="J16" s="47">
        <f>IF((Ventas!J23+Ventas!J24)&lt;250000,-'Costos y OPEX'!$B$16,-'Costos y OPEX'!$C$16)</f>
        <v>-1150</v>
      </c>
      <c r="K16" s="47">
        <f>IF((Ventas!K23+Ventas!K24)&lt;250000,-'Costos y OPEX'!$B$16,-'Costos y OPEX'!$C$16)</f>
        <v>-1150</v>
      </c>
      <c r="L16" s="47">
        <f>IF((Ventas!L23+Ventas!L24)&lt;250000,-'Costos y OPEX'!$B$16,-'Costos y OPEX'!$C$16)</f>
        <v>-1150</v>
      </c>
      <c r="M16" s="47">
        <f>IF((Ventas!M23+Ventas!M24)&lt;250000,-'Costos y OPEX'!$B$16,-'Costos y OPEX'!$C$16)</f>
        <v>-1150</v>
      </c>
      <c r="N16" s="47">
        <f>IF((Ventas!N23+Ventas!N24)&lt;250000,-'Costos y OPEX'!$B$16,-'Costos y OPEX'!$C$16)</f>
        <v>-1150</v>
      </c>
      <c r="O16" s="47">
        <f>IF((Ventas!O23+Ventas!O24)&lt;250000,-'Costos y OPEX'!$B$16,-'Costos y OPEX'!$C$16)</f>
        <v>-1150</v>
      </c>
      <c r="P16" s="47">
        <f>IF((Ventas!P23+Ventas!P24)&lt;250000,-'Costos y OPEX'!$B$16,-'Costos y OPEX'!$C$16)</f>
        <v>-1150</v>
      </c>
      <c r="Q16" s="47">
        <f>IF((Ventas!Q23+Ventas!Q24)&lt;250000,-'Costos y OPEX'!$B$16,-'Costos y OPEX'!$C$16)</f>
        <v>-1150</v>
      </c>
      <c r="R16" s="47">
        <f>IF((Ventas!R23+Ventas!R24)&lt;250000,-'Costos y OPEX'!$B$16,-'Costos y OPEX'!$C$16)</f>
        <v>-1150</v>
      </c>
      <c r="S16" s="47">
        <f>IF((Ventas!S23+Ventas!S24)&lt;250000,-'Costos y OPEX'!$B$16,-'Costos y OPEX'!$C$16)</f>
        <v>-1150</v>
      </c>
      <c r="T16" s="47">
        <f>IF((Ventas!T23+Ventas!T24)&lt;250000,-'Costos y OPEX'!$B$16,-'Costos y OPEX'!$C$16)</f>
        <v>-1150</v>
      </c>
      <c r="U16" s="47">
        <f>IF((Ventas!U23+Ventas!U24)&lt;250000,-'Costos y OPEX'!$B$16,-'Costos y OPEX'!$C$16)</f>
        <v>-1150</v>
      </c>
      <c r="V16" s="47">
        <f>IF((Ventas!V23+Ventas!V24)&lt;250000,-'Costos y OPEX'!$B$16,-'Costos y OPEX'!$C$16)</f>
        <v>-1150</v>
      </c>
      <c r="W16" s="47">
        <f>IF((Ventas!W23+Ventas!W24)&lt;250000,-'Costos y OPEX'!$B$16,-'Costos y OPEX'!$C$16)</f>
        <v>-1150</v>
      </c>
      <c r="X16" s="47">
        <f>IF((Ventas!X23+Ventas!X24)&lt;250000,-'Costos y OPEX'!$B$16,-'Costos y OPEX'!$C$16)</f>
        <v>-1150</v>
      </c>
      <c r="Y16" s="47">
        <f>IF((Ventas!Y23+Ventas!Y24)&lt;250000,-'Costos y OPEX'!$B$16,-'Costos y OPEX'!$C$16)</f>
        <v>-1150</v>
      </c>
      <c r="Z16" s="47">
        <f>IF((Ventas!Z23+Ventas!Z24)&lt;250000,-'Costos y OPEX'!$B$16,-'Costos y OPEX'!$C$16)</f>
        <v>-1150</v>
      </c>
      <c r="AA16" s="47">
        <f>IF((Ventas!AA23+Ventas!AA24)&lt;250000,-'Costos y OPEX'!$B$16,-'Costos y OPEX'!$C$16)</f>
        <v>-1150</v>
      </c>
      <c r="AB16" s="47">
        <f>IF((Ventas!AB23+Ventas!AB24)&lt;250000,-'Costos y OPEX'!$B$16,-'Costos y OPEX'!$C$16)</f>
        <v>-1150</v>
      </c>
      <c r="AC16" s="47">
        <f>IF((Ventas!AC23+Ventas!AC24)&lt;250000,-'Costos y OPEX'!$B$16,-'Costos y OPEX'!$C$16)</f>
        <v>-1150</v>
      </c>
      <c r="AD16" s="47">
        <f>IF((Ventas!AD23+Ventas!AD24)&lt;250000,-'Costos y OPEX'!$B$16,-'Costos y OPEX'!$C$16)</f>
        <v>-1150</v>
      </c>
      <c r="AE16" s="47">
        <f>IF((Ventas!AE23+Ventas!AE24)&lt;250000,-'Costos y OPEX'!$B$16,-'Costos y OPEX'!$C$16)</f>
        <v>-1150</v>
      </c>
      <c r="AF16" s="47">
        <f>IF((Ventas!AF23+Ventas!AF24)&lt;250000,-'Costos y OPEX'!$B$16,-'Costos y OPEX'!$C$16)</f>
        <v>-1150</v>
      </c>
      <c r="AG16" s="47">
        <f>IF((Ventas!AG23+Ventas!AG24)&lt;250000,-'Costos y OPEX'!$B$16,-'Costos y OPEX'!$C$16)</f>
        <v>-1150</v>
      </c>
      <c r="AH16" s="47">
        <f>IF((Ventas!AH23+Ventas!AH24)&lt;250000,-'Costos y OPEX'!$B$16,-'Costos y OPEX'!$C$16)</f>
        <v>-1150</v>
      </c>
      <c r="AI16" s="47">
        <f>IF((Ventas!AI23+Ventas!AI24)&lt;250000,-'Costos y OPEX'!$B$16,-'Costos y OPEX'!$C$16)</f>
        <v>-1150</v>
      </c>
      <c r="AJ16" s="47">
        <f>IF((Ventas!AJ23+Ventas!AJ24)&lt;250000,-'Costos y OPEX'!$B$16,-'Costos y OPEX'!$C$16)</f>
        <v>-1150</v>
      </c>
      <c r="AK16" s="47">
        <f>IF((Ventas!AK23+Ventas!AK24)&lt;250000,-'Costos y OPEX'!$B$16,-'Costos y OPEX'!$C$16)</f>
        <v>-1150</v>
      </c>
      <c r="AL16" s="47">
        <f>IF((Ventas!AL23+Ventas!AL24)&lt;250000,-'Costos y OPEX'!$B$16,-'Costos y OPEX'!$C$16)</f>
        <v>-1150</v>
      </c>
      <c r="AM16" s="47">
        <f>IF((Ventas!AM23+Ventas!AM24)&lt;250000,-'Costos y OPEX'!$B$16,-'Costos y OPEX'!$C$16)</f>
        <v>-1150</v>
      </c>
      <c r="AN16" s="47">
        <f>IF((Ventas!AN23+Ventas!AN24)&lt;250000,-'Costos y OPEX'!$B$16,-'Costos y OPEX'!$C$16)</f>
        <v>-1150</v>
      </c>
      <c r="AO16" s="47">
        <f>IF((Ventas!AO23+Ventas!AO24)&lt;250000,-'Costos y OPEX'!$B$16,-'Costos y OPEX'!$C$16)</f>
        <v>-1150</v>
      </c>
      <c r="AP16" s="47">
        <f>IF((Ventas!AP23+Ventas!AP24)&lt;250000,-'Costos y OPEX'!$B$16,-'Costos y OPEX'!$C$16)</f>
        <v>-1150</v>
      </c>
      <c r="AQ16" s="47">
        <f>IF((Ventas!AQ23+Ventas!AQ24)&lt;250000,-'Costos y OPEX'!$B$16,-'Costos y OPEX'!$C$16)</f>
        <v>-1150</v>
      </c>
      <c r="AR16" s="47">
        <f>IF((Ventas!AR23+Ventas!AR24)&lt;250000,-'Costos y OPEX'!$B$16,-'Costos y OPEX'!$C$16)</f>
        <v>-9900</v>
      </c>
      <c r="AS16" s="47">
        <f>IF((Ventas!AS23+Ventas!AS24)&lt;250000,-'Costos y OPEX'!$B$16,-'Costos y OPEX'!$C$16)</f>
        <v>-9900</v>
      </c>
      <c r="AT16" s="47">
        <f>IF((Ventas!AT23+Ventas!AT24)&lt;250000,-'Costos y OPEX'!$B$16,-'Costos y OPEX'!$C$16)</f>
        <v>-9900</v>
      </c>
      <c r="AU16" s="47">
        <f>IF((Ventas!AU23+Ventas!AU24)&lt;250000,-'Costos y OPEX'!$B$16,-'Costos y OPEX'!$C$16)</f>
        <v>-9900</v>
      </c>
      <c r="AV16" s="47">
        <f>IF((Ventas!AV23+Ventas!AV24)&lt;250000,-'Costos y OPEX'!$B$16,-'Costos y OPEX'!$C$16)</f>
        <v>-9900</v>
      </c>
      <c r="AW16" s="47">
        <f>IF((Ventas!AW23+Ventas!AW24)&lt;250000,-'Costos y OPEX'!$B$16,-'Costos y OPEX'!$C$16)</f>
        <v>-9900</v>
      </c>
      <c r="AX16" s="47">
        <f>IF((Ventas!AX23+Ventas!AX24)&lt;250000,-'Costos y OPEX'!$B$16,-'Costos y OPEX'!$C$16)</f>
        <v>-9900</v>
      </c>
      <c r="AY16" s="47">
        <f>IF((Ventas!AY23+Ventas!AY24)&lt;250000,-'Costos y OPEX'!$B$16,-'Costos y OPEX'!$C$16)</f>
        <v>-9900</v>
      </c>
      <c r="AZ16" s="47">
        <f>IF((Ventas!AZ23+Ventas!AZ24)&lt;250000,-'Costos y OPEX'!$B$16,-'Costos y OPEX'!$C$16)</f>
        <v>-9900</v>
      </c>
      <c r="BA16" s="47">
        <f>IF((Ventas!BA23+Ventas!BA24)&lt;250000,-'Costos y OPEX'!$B$16,-'Costos y OPEX'!$C$16)</f>
        <v>-9900</v>
      </c>
      <c r="BB16" s="47">
        <f>IF((Ventas!BB23+Ventas!BB24)&lt;250000,-'Costos y OPEX'!$B$16,-'Costos y OPEX'!$C$16)</f>
        <v>-9900</v>
      </c>
      <c r="BC16" s="47">
        <f>IF((Ventas!BC23+Ventas!BC24)&lt;250000,-'Costos y OPEX'!$B$16,-'Costos y OPEX'!$C$16)</f>
        <v>-9900</v>
      </c>
      <c r="BD16" s="47">
        <f>IF((Ventas!BD23+Ventas!BD24)&lt;250000,-'Costos y OPEX'!$B$16,-'Costos y OPEX'!$C$16)</f>
        <v>-9900</v>
      </c>
      <c r="BE16" s="47">
        <f>IF((Ventas!BE23+Ventas!BE24)&lt;250000,-'Costos y OPEX'!$B$16,-'Costos y OPEX'!$C$16)</f>
        <v>-9900</v>
      </c>
      <c r="BF16" s="47">
        <f>IF((Ventas!BF23+Ventas!BF24)&lt;250000,-'Costos y OPEX'!$B$16,-'Costos y OPEX'!$C$16)</f>
        <v>-9900</v>
      </c>
      <c r="BG16" s="47">
        <f>IF((Ventas!BG23+Ventas!BG24)&lt;250000,-'Costos y OPEX'!$B$16,-'Costos y OPEX'!$C$16)</f>
        <v>-9900</v>
      </c>
      <c r="BH16" s="47">
        <f>IF((Ventas!BH23+Ventas!BH24)&lt;250000,-'Costos y OPEX'!$B$16,-'Costos y OPEX'!$C$16)</f>
        <v>-9900</v>
      </c>
      <c r="BI16" s="47">
        <f>IF((Ventas!BI23+Ventas!BI24)&lt;250000,-'Costos y OPEX'!$B$16,-'Costos y OPEX'!$C$16)</f>
        <v>-9900</v>
      </c>
    </row>
    <row r="17" spans="1:61">
      <c r="A17" s="2" t="s">
        <v>111</v>
      </c>
      <c r="B17" s="47">
        <f>-'Costos y OPEX'!B17</f>
        <v>-8.3333333333333339</v>
      </c>
      <c r="C17" s="47">
        <f>+B17</f>
        <v>-8.3333333333333339</v>
      </c>
      <c r="D17" s="47">
        <f t="shared" si="21"/>
        <v>-8.3333333333333339</v>
      </c>
      <c r="E17" s="47">
        <f t="shared" si="22"/>
        <v>-8.3333333333333339</v>
      </c>
      <c r="F17" s="47">
        <f t="shared" si="23"/>
        <v>-8.3333333333333339</v>
      </c>
      <c r="G17" s="47">
        <f t="shared" si="24"/>
        <v>-8.3333333333333339</v>
      </c>
      <c r="H17" s="47">
        <f t="shared" si="25"/>
        <v>-8.3333333333333339</v>
      </c>
      <c r="I17" s="47">
        <f t="shared" si="26"/>
        <v>-8.3333333333333339</v>
      </c>
      <c r="J17" s="47">
        <f t="shared" si="27"/>
        <v>-8.3333333333333339</v>
      </c>
      <c r="K17" s="47">
        <f t="shared" si="28"/>
        <v>-8.3333333333333339</v>
      </c>
      <c r="L17" s="47">
        <f t="shared" si="29"/>
        <v>-8.3333333333333339</v>
      </c>
      <c r="M17" s="47">
        <f t="shared" si="30"/>
        <v>-8.3333333333333339</v>
      </c>
      <c r="N17" s="47">
        <f t="shared" si="78"/>
        <v>-8.3333333333333339</v>
      </c>
      <c r="O17" s="47">
        <f t="shared" si="31"/>
        <v>-8.3333333333333339</v>
      </c>
      <c r="P17" s="47">
        <f t="shared" si="32"/>
        <v>-8.3333333333333339</v>
      </c>
      <c r="Q17" s="47">
        <f t="shared" si="33"/>
        <v>-8.3333333333333339</v>
      </c>
      <c r="R17" s="47">
        <f t="shared" si="34"/>
        <v>-8.3333333333333339</v>
      </c>
      <c r="S17" s="47">
        <f t="shared" si="35"/>
        <v>-8.3333333333333339</v>
      </c>
      <c r="T17" s="47">
        <f t="shared" si="36"/>
        <v>-8.3333333333333339</v>
      </c>
      <c r="U17" s="47">
        <f t="shared" si="37"/>
        <v>-8.3333333333333339</v>
      </c>
      <c r="V17" s="47">
        <f t="shared" si="38"/>
        <v>-8.3333333333333339</v>
      </c>
      <c r="W17" s="47">
        <f t="shared" si="39"/>
        <v>-8.3333333333333339</v>
      </c>
      <c r="X17" s="47">
        <f t="shared" si="40"/>
        <v>-8.3333333333333339</v>
      </c>
      <c r="Y17" s="47">
        <f t="shared" si="41"/>
        <v>-8.3333333333333339</v>
      </c>
      <c r="Z17" s="47">
        <f t="shared" si="79"/>
        <v>-8.3333333333333339</v>
      </c>
      <c r="AA17" s="47">
        <f t="shared" si="42"/>
        <v>-8.3333333333333339</v>
      </c>
      <c r="AB17" s="47">
        <f t="shared" si="43"/>
        <v>-8.3333333333333339</v>
      </c>
      <c r="AC17" s="47">
        <f t="shared" si="44"/>
        <v>-8.3333333333333339</v>
      </c>
      <c r="AD17" s="47">
        <f t="shared" si="45"/>
        <v>-8.3333333333333339</v>
      </c>
      <c r="AE17" s="47">
        <f t="shared" si="46"/>
        <v>-8.3333333333333339</v>
      </c>
      <c r="AF17" s="47">
        <f t="shared" si="47"/>
        <v>-8.3333333333333339</v>
      </c>
      <c r="AG17" s="47">
        <f t="shared" si="48"/>
        <v>-8.3333333333333339</v>
      </c>
      <c r="AH17" s="47">
        <f t="shared" si="49"/>
        <v>-8.3333333333333339</v>
      </c>
      <c r="AI17" s="47">
        <f t="shared" si="50"/>
        <v>-8.3333333333333339</v>
      </c>
      <c r="AJ17" s="47">
        <f t="shared" si="51"/>
        <v>-8.3333333333333339</v>
      </c>
      <c r="AK17" s="47">
        <f t="shared" si="52"/>
        <v>-8.3333333333333339</v>
      </c>
      <c r="AL17" s="47">
        <f t="shared" si="53"/>
        <v>-8.3333333333333339</v>
      </c>
      <c r="AM17" s="47">
        <f t="shared" si="54"/>
        <v>-8.3333333333333339</v>
      </c>
      <c r="AN17" s="47">
        <f t="shared" si="55"/>
        <v>-8.3333333333333339</v>
      </c>
      <c r="AO17" s="47">
        <f t="shared" si="56"/>
        <v>-8.3333333333333339</v>
      </c>
      <c r="AP17" s="47">
        <f t="shared" si="57"/>
        <v>-8.3333333333333339</v>
      </c>
      <c r="AQ17" s="47">
        <f t="shared" si="58"/>
        <v>-8.3333333333333339</v>
      </c>
      <c r="AR17" s="47">
        <f t="shared" si="59"/>
        <v>-8.3333333333333339</v>
      </c>
      <c r="AS17" s="47">
        <f t="shared" si="60"/>
        <v>-8.3333333333333339</v>
      </c>
      <c r="AT17" s="47">
        <f t="shared" si="61"/>
        <v>-8.3333333333333339</v>
      </c>
      <c r="AU17" s="47">
        <f t="shared" si="62"/>
        <v>-8.3333333333333339</v>
      </c>
      <c r="AV17" s="47">
        <f t="shared" si="63"/>
        <v>-8.3333333333333339</v>
      </c>
      <c r="AW17" s="47">
        <f t="shared" si="64"/>
        <v>-8.3333333333333339</v>
      </c>
      <c r="AX17" s="47">
        <f t="shared" si="65"/>
        <v>-8.3333333333333339</v>
      </c>
      <c r="AY17" s="47">
        <f t="shared" si="66"/>
        <v>-8.3333333333333339</v>
      </c>
      <c r="AZ17" s="47">
        <f t="shared" si="67"/>
        <v>-8.3333333333333339</v>
      </c>
      <c r="BA17" s="47">
        <f t="shared" si="68"/>
        <v>-8.3333333333333339</v>
      </c>
      <c r="BB17" s="47">
        <f t="shared" si="69"/>
        <v>-8.3333333333333339</v>
      </c>
      <c r="BC17" s="47">
        <f t="shared" si="70"/>
        <v>-8.3333333333333339</v>
      </c>
      <c r="BD17" s="47">
        <f t="shared" si="71"/>
        <v>-8.3333333333333339</v>
      </c>
      <c r="BE17" s="47">
        <f t="shared" si="72"/>
        <v>-8.3333333333333339</v>
      </c>
      <c r="BF17" s="47">
        <f t="shared" si="73"/>
        <v>-8.3333333333333339</v>
      </c>
      <c r="BG17" s="47">
        <f t="shared" si="74"/>
        <v>-8.3333333333333339</v>
      </c>
      <c r="BH17" s="47">
        <f t="shared" si="75"/>
        <v>-8.3333333333333339</v>
      </c>
      <c r="BI17" s="47">
        <f t="shared" si="76"/>
        <v>-8.3333333333333339</v>
      </c>
    </row>
    <row r="18" spans="1:61">
      <c r="A18" s="2" t="s">
        <v>113</v>
      </c>
      <c r="B18" s="47">
        <f>-'Costos y OPEX'!$B$18</f>
        <v>-99</v>
      </c>
      <c r="C18" s="47">
        <f t="shared" ref="C18" si="80">+B18</f>
        <v>-99</v>
      </c>
      <c r="D18" s="47">
        <f t="shared" ref="D18:D24" si="81">+C18</f>
        <v>-99</v>
      </c>
      <c r="E18" s="47">
        <f t="shared" ref="E18:E24" si="82">+D18</f>
        <v>-99</v>
      </c>
      <c r="F18" s="47">
        <f t="shared" ref="F18:F24" si="83">+E18</f>
        <v>-99</v>
      </c>
      <c r="G18" s="47">
        <f t="shared" ref="G18:G24" si="84">+F18</f>
        <v>-99</v>
      </c>
      <c r="H18" s="47">
        <f t="shared" ref="H18:H24" si="85">+G18</f>
        <v>-99</v>
      </c>
      <c r="I18" s="47">
        <f t="shared" ref="I18:I24" si="86">+H18</f>
        <v>-99</v>
      </c>
      <c r="J18" s="47">
        <f t="shared" ref="J18:J24" si="87">+I18</f>
        <v>-99</v>
      </c>
      <c r="K18" s="47">
        <f t="shared" ref="K18:K24" si="88">+J18</f>
        <v>-99</v>
      </c>
      <c r="L18" s="47">
        <f t="shared" ref="L18:L24" si="89">+K18</f>
        <v>-99</v>
      </c>
      <c r="M18" s="47">
        <f t="shared" ref="M18:M24" si="90">+L18</f>
        <v>-99</v>
      </c>
      <c r="N18" s="47">
        <f t="shared" ref="N18:N24" si="91">+M18</f>
        <v>-99</v>
      </c>
      <c r="O18" s="47">
        <f t="shared" ref="O18:O24" si="92">+N18</f>
        <v>-99</v>
      </c>
      <c r="P18" s="47">
        <f t="shared" ref="P18:P24" si="93">+O18</f>
        <v>-99</v>
      </c>
      <c r="Q18" s="47">
        <f t="shared" ref="Q18:Q24" si="94">+P18</f>
        <v>-99</v>
      </c>
      <c r="R18" s="47">
        <f t="shared" ref="R18:R24" si="95">+Q18</f>
        <v>-99</v>
      </c>
      <c r="S18" s="47">
        <f t="shared" ref="S18:S24" si="96">+R18</f>
        <v>-99</v>
      </c>
      <c r="T18" s="47">
        <f t="shared" ref="T18:T24" si="97">+S18</f>
        <v>-99</v>
      </c>
      <c r="U18" s="47">
        <f t="shared" ref="U18:U24" si="98">+T18</f>
        <v>-99</v>
      </c>
      <c r="V18" s="47">
        <f t="shared" ref="V18:V24" si="99">+U18</f>
        <v>-99</v>
      </c>
      <c r="W18" s="47">
        <f t="shared" ref="W18:W24" si="100">+V18</f>
        <v>-99</v>
      </c>
      <c r="X18" s="47">
        <f t="shared" ref="X18:X24" si="101">+W18</f>
        <v>-99</v>
      </c>
      <c r="Y18" s="47">
        <f t="shared" ref="Y18:Y24" si="102">+X18</f>
        <v>-99</v>
      </c>
      <c r="Z18" s="47">
        <f t="shared" ref="Z18:Z24" si="103">+Y18</f>
        <v>-99</v>
      </c>
      <c r="AA18" s="47">
        <f t="shared" ref="AA18:AA24" si="104">+Z18</f>
        <v>-99</v>
      </c>
      <c r="AB18" s="47">
        <f t="shared" ref="AB18:AB24" si="105">+AA18</f>
        <v>-99</v>
      </c>
      <c r="AC18" s="47">
        <f t="shared" ref="AC18:AC24" si="106">+AB18</f>
        <v>-99</v>
      </c>
      <c r="AD18" s="47">
        <f t="shared" ref="AD18:AD24" si="107">+AC18</f>
        <v>-99</v>
      </c>
      <c r="AE18" s="47">
        <f t="shared" ref="AE18:AE24" si="108">+AD18</f>
        <v>-99</v>
      </c>
      <c r="AF18" s="47">
        <f t="shared" ref="AF18:AF24" si="109">+AE18</f>
        <v>-99</v>
      </c>
      <c r="AG18" s="47">
        <f t="shared" ref="AG18:AG24" si="110">+AF18</f>
        <v>-99</v>
      </c>
      <c r="AH18" s="47">
        <f t="shared" ref="AH18:AH24" si="111">+AG18</f>
        <v>-99</v>
      </c>
      <c r="AI18" s="47">
        <f t="shared" ref="AI18:AI24" si="112">+AH18</f>
        <v>-99</v>
      </c>
      <c r="AJ18" s="47">
        <f t="shared" ref="AJ18:AJ24" si="113">+AI18</f>
        <v>-99</v>
      </c>
      <c r="AK18" s="47">
        <f t="shared" ref="AK18:AK24" si="114">+AJ18</f>
        <v>-99</v>
      </c>
      <c r="AL18" s="47">
        <f t="shared" ref="AL18:AL24" si="115">+AK18</f>
        <v>-99</v>
      </c>
      <c r="AM18" s="47">
        <f t="shared" ref="AM18:AM24" si="116">+AL18</f>
        <v>-99</v>
      </c>
      <c r="AN18" s="47">
        <f t="shared" ref="AN18:AN24" si="117">+AM18</f>
        <v>-99</v>
      </c>
      <c r="AO18" s="47">
        <f t="shared" ref="AO18:AO24" si="118">+AN18</f>
        <v>-99</v>
      </c>
      <c r="AP18" s="47">
        <f t="shared" ref="AP18:AP24" si="119">+AO18</f>
        <v>-99</v>
      </c>
      <c r="AQ18" s="47">
        <f t="shared" ref="AQ18:AQ24" si="120">+AP18</f>
        <v>-99</v>
      </c>
      <c r="AR18" s="47">
        <f t="shared" ref="AR18:AR24" si="121">+AQ18</f>
        <v>-99</v>
      </c>
      <c r="AS18" s="47">
        <f t="shared" ref="AS18:AS24" si="122">+AR18</f>
        <v>-99</v>
      </c>
      <c r="AT18" s="47">
        <f t="shared" ref="AT18:AT24" si="123">+AS18</f>
        <v>-99</v>
      </c>
      <c r="AU18" s="47">
        <f t="shared" ref="AU18:AU24" si="124">+AT18</f>
        <v>-99</v>
      </c>
      <c r="AV18" s="47">
        <f t="shared" ref="AV18:AV24" si="125">+AU18</f>
        <v>-99</v>
      </c>
      <c r="AW18" s="47">
        <f t="shared" ref="AW18:AW24" si="126">+AV18</f>
        <v>-99</v>
      </c>
      <c r="AX18" s="47">
        <f t="shared" ref="AX18:AX22" si="127">+AW18</f>
        <v>-99</v>
      </c>
      <c r="AY18" s="47">
        <f t="shared" ref="AY18:AY22" si="128">+AX18</f>
        <v>-99</v>
      </c>
      <c r="AZ18" s="47">
        <f t="shared" ref="AZ18:AZ22" si="129">+AY18</f>
        <v>-99</v>
      </c>
      <c r="BA18" s="47">
        <f t="shared" ref="BA18:BA22" si="130">+AZ18</f>
        <v>-99</v>
      </c>
      <c r="BB18" s="47">
        <f t="shared" ref="BB18:BB22" si="131">+BA18</f>
        <v>-99</v>
      </c>
      <c r="BC18" s="47">
        <f t="shared" ref="BC18:BC22" si="132">+BB18</f>
        <v>-99</v>
      </c>
      <c r="BD18" s="47">
        <f t="shared" ref="BD18:BD22" si="133">+BC18</f>
        <v>-99</v>
      </c>
      <c r="BE18" s="47">
        <f t="shared" ref="BE18:BE22" si="134">+BD18</f>
        <v>-99</v>
      </c>
      <c r="BF18" s="47">
        <f t="shared" ref="BF18:BF22" si="135">+BE18</f>
        <v>-99</v>
      </c>
      <c r="BG18" s="47">
        <f t="shared" ref="BG18:BG22" si="136">+BF18</f>
        <v>-99</v>
      </c>
      <c r="BH18" s="47">
        <f t="shared" ref="BH18:BH22" si="137">+BG18</f>
        <v>-99</v>
      </c>
      <c r="BI18" s="47">
        <f t="shared" ref="BI18:BI22" si="138">+BH18</f>
        <v>-99</v>
      </c>
    </row>
    <row r="19" spans="1:61">
      <c r="A19" s="2" t="s">
        <v>114</v>
      </c>
      <c r="B19" s="47">
        <f>-'Costos y OPEX'!$B$19</f>
        <v>-50</v>
      </c>
      <c r="C19" s="47">
        <f t="shared" ref="C19" si="139">+B19</f>
        <v>-50</v>
      </c>
      <c r="D19" s="47">
        <f t="shared" si="81"/>
        <v>-50</v>
      </c>
      <c r="E19" s="47">
        <f t="shared" si="82"/>
        <v>-50</v>
      </c>
      <c r="F19" s="47">
        <f t="shared" si="83"/>
        <v>-50</v>
      </c>
      <c r="G19" s="47">
        <f t="shared" si="84"/>
        <v>-50</v>
      </c>
      <c r="H19" s="47">
        <f t="shared" si="85"/>
        <v>-50</v>
      </c>
      <c r="I19" s="47">
        <f t="shared" si="86"/>
        <v>-50</v>
      </c>
      <c r="J19" s="47">
        <f t="shared" si="87"/>
        <v>-50</v>
      </c>
      <c r="K19" s="47">
        <f t="shared" si="88"/>
        <v>-50</v>
      </c>
      <c r="L19" s="47">
        <f t="shared" si="89"/>
        <v>-50</v>
      </c>
      <c r="M19" s="47">
        <f t="shared" si="90"/>
        <v>-50</v>
      </c>
      <c r="N19" s="47">
        <f t="shared" si="91"/>
        <v>-50</v>
      </c>
      <c r="O19" s="47">
        <f t="shared" si="92"/>
        <v>-50</v>
      </c>
      <c r="P19" s="47">
        <f t="shared" si="93"/>
        <v>-50</v>
      </c>
      <c r="Q19" s="47">
        <f t="shared" si="94"/>
        <v>-50</v>
      </c>
      <c r="R19" s="47">
        <f t="shared" si="95"/>
        <v>-50</v>
      </c>
      <c r="S19" s="47">
        <f t="shared" si="96"/>
        <v>-50</v>
      </c>
      <c r="T19" s="47">
        <f t="shared" si="97"/>
        <v>-50</v>
      </c>
      <c r="U19" s="47">
        <f t="shared" si="98"/>
        <v>-50</v>
      </c>
      <c r="V19" s="47">
        <f t="shared" si="99"/>
        <v>-50</v>
      </c>
      <c r="W19" s="47">
        <f t="shared" si="100"/>
        <v>-50</v>
      </c>
      <c r="X19" s="47">
        <f t="shared" si="101"/>
        <v>-50</v>
      </c>
      <c r="Y19" s="47">
        <f t="shared" si="102"/>
        <v>-50</v>
      </c>
      <c r="Z19" s="47">
        <f t="shared" si="103"/>
        <v>-50</v>
      </c>
      <c r="AA19" s="47">
        <f t="shared" si="104"/>
        <v>-50</v>
      </c>
      <c r="AB19" s="47">
        <f t="shared" si="105"/>
        <v>-50</v>
      </c>
      <c r="AC19" s="47">
        <f t="shared" si="106"/>
        <v>-50</v>
      </c>
      <c r="AD19" s="47">
        <f t="shared" si="107"/>
        <v>-50</v>
      </c>
      <c r="AE19" s="47">
        <f t="shared" si="108"/>
        <v>-50</v>
      </c>
      <c r="AF19" s="47">
        <f t="shared" si="109"/>
        <v>-50</v>
      </c>
      <c r="AG19" s="47">
        <f t="shared" si="110"/>
        <v>-50</v>
      </c>
      <c r="AH19" s="47">
        <f t="shared" si="111"/>
        <v>-50</v>
      </c>
      <c r="AI19" s="47">
        <f t="shared" si="112"/>
        <v>-50</v>
      </c>
      <c r="AJ19" s="47">
        <f t="shared" si="113"/>
        <v>-50</v>
      </c>
      <c r="AK19" s="47">
        <f t="shared" si="114"/>
        <v>-50</v>
      </c>
      <c r="AL19" s="47">
        <f t="shared" si="115"/>
        <v>-50</v>
      </c>
      <c r="AM19" s="47">
        <f t="shared" si="116"/>
        <v>-50</v>
      </c>
      <c r="AN19" s="47">
        <f t="shared" si="117"/>
        <v>-50</v>
      </c>
      <c r="AO19" s="47">
        <f t="shared" si="118"/>
        <v>-50</v>
      </c>
      <c r="AP19" s="47">
        <f t="shared" si="119"/>
        <v>-50</v>
      </c>
      <c r="AQ19" s="47">
        <f t="shared" si="120"/>
        <v>-50</v>
      </c>
      <c r="AR19" s="47">
        <f t="shared" si="121"/>
        <v>-50</v>
      </c>
      <c r="AS19" s="47">
        <f t="shared" si="122"/>
        <v>-50</v>
      </c>
      <c r="AT19" s="47">
        <f t="shared" si="123"/>
        <v>-50</v>
      </c>
      <c r="AU19" s="47">
        <f t="shared" si="124"/>
        <v>-50</v>
      </c>
      <c r="AV19" s="47">
        <f t="shared" si="125"/>
        <v>-50</v>
      </c>
      <c r="AW19" s="47">
        <f t="shared" si="126"/>
        <v>-50</v>
      </c>
      <c r="AX19" s="47">
        <f t="shared" si="127"/>
        <v>-50</v>
      </c>
      <c r="AY19" s="47">
        <f t="shared" si="128"/>
        <v>-50</v>
      </c>
      <c r="AZ19" s="47">
        <f t="shared" si="129"/>
        <v>-50</v>
      </c>
      <c r="BA19" s="47">
        <f t="shared" si="130"/>
        <v>-50</v>
      </c>
      <c r="BB19" s="47">
        <f t="shared" si="131"/>
        <v>-50</v>
      </c>
      <c r="BC19" s="47">
        <f t="shared" si="132"/>
        <v>-50</v>
      </c>
      <c r="BD19" s="47">
        <f t="shared" si="133"/>
        <v>-50</v>
      </c>
      <c r="BE19" s="47">
        <f t="shared" si="134"/>
        <v>-50</v>
      </c>
      <c r="BF19" s="47">
        <f t="shared" si="135"/>
        <v>-50</v>
      </c>
      <c r="BG19" s="47">
        <f t="shared" si="136"/>
        <v>-50</v>
      </c>
      <c r="BH19" s="47">
        <f t="shared" si="137"/>
        <v>-50</v>
      </c>
      <c r="BI19" s="47">
        <f t="shared" si="138"/>
        <v>-50</v>
      </c>
    </row>
    <row r="20" spans="1:61">
      <c r="A20" s="2" t="s">
        <v>115</v>
      </c>
      <c r="B20" s="47">
        <f>-'Costos y OPEX'!$B$20</f>
        <v>-11</v>
      </c>
      <c r="C20" s="47">
        <f t="shared" ref="C20" si="140">+B20</f>
        <v>-11</v>
      </c>
      <c r="D20" s="47">
        <f t="shared" si="81"/>
        <v>-11</v>
      </c>
      <c r="E20" s="47">
        <f t="shared" si="82"/>
        <v>-11</v>
      </c>
      <c r="F20" s="47">
        <f t="shared" si="83"/>
        <v>-11</v>
      </c>
      <c r="G20" s="47">
        <f t="shared" si="84"/>
        <v>-11</v>
      </c>
      <c r="H20" s="47">
        <f t="shared" si="85"/>
        <v>-11</v>
      </c>
      <c r="I20" s="47">
        <f t="shared" si="86"/>
        <v>-11</v>
      </c>
      <c r="J20" s="47">
        <f t="shared" si="87"/>
        <v>-11</v>
      </c>
      <c r="K20" s="47">
        <f t="shared" si="88"/>
        <v>-11</v>
      </c>
      <c r="L20" s="47">
        <f t="shared" si="89"/>
        <v>-11</v>
      </c>
      <c r="M20" s="47">
        <f t="shared" si="90"/>
        <v>-11</v>
      </c>
      <c r="N20" s="47">
        <f t="shared" si="91"/>
        <v>-11</v>
      </c>
      <c r="O20" s="47">
        <f t="shared" si="92"/>
        <v>-11</v>
      </c>
      <c r="P20" s="47">
        <f t="shared" si="93"/>
        <v>-11</v>
      </c>
      <c r="Q20" s="47">
        <f t="shared" si="94"/>
        <v>-11</v>
      </c>
      <c r="R20" s="47">
        <f t="shared" si="95"/>
        <v>-11</v>
      </c>
      <c r="S20" s="47">
        <f t="shared" si="96"/>
        <v>-11</v>
      </c>
      <c r="T20" s="47">
        <f t="shared" si="97"/>
        <v>-11</v>
      </c>
      <c r="U20" s="47">
        <f t="shared" si="98"/>
        <v>-11</v>
      </c>
      <c r="V20" s="47">
        <f t="shared" si="99"/>
        <v>-11</v>
      </c>
      <c r="W20" s="47">
        <f t="shared" si="100"/>
        <v>-11</v>
      </c>
      <c r="X20" s="47">
        <f t="shared" si="101"/>
        <v>-11</v>
      </c>
      <c r="Y20" s="47">
        <f t="shared" si="102"/>
        <v>-11</v>
      </c>
      <c r="Z20" s="47">
        <f t="shared" si="103"/>
        <v>-11</v>
      </c>
      <c r="AA20" s="47">
        <f t="shared" si="104"/>
        <v>-11</v>
      </c>
      <c r="AB20" s="47">
        <f t="shared" si="105"/>
        <v>-11</v>
      </c>
      <c r="AC20" s="47">
        <f t="shared" si="106"/>
        <v>-11</v>
      </c>
      <c r="AD20" s="47">
        <f t="shared" si="107"/>
        <v>-11</v>
      </c>
      <c r="AE20" s="47">
        <f t="shared" si="108"/>
        <v>-11</v>
      </c>
      <c r="AF20" s="47">
        <f t="shared" si="109"/>
        <v>-11</v>
      </c>
      <c r="AG20" s="47">
        <f t="shared" si="110"/>
        <v>-11</v>
      </c>
      <c r="AH20" s="47">
        <f t="shared" si="111"/>
        <v>-11</v>
      </c>
      <c r="AI20" s="47">
        <f t="shared" si="112"/>
        <v>-11</v>
      </c>
      <c r="AJ20" s="47">
        <f t="shared" si="113"/>
        <v>-11</v>
      </c>
      <c r="AK20" s="47">
        <f t="shared" si="114"/>
        <v>-11</v>
      </c>
      <c r="AL20" s="47">
        <f t="shared" si="115"/>
        <v>-11</v>
      </c>
      <c r="AM20" s="47">
        <f t="shared" si="116"/>
        <v>-11</v>
      </c>
      <c r="AN20" s="47">
        <f t="shared" si="117"/>
        <v>-11</v>
      </c>
      <c r="AO20" s="47">
        <f t="shared" si="118"/>
        <v>-11</v>
      </c>
      <c r="AP20" s="47">
        <f t="shared" si="119"/>
        <v>-11</v>
      </c>
      <c r="AQ20" s="47">
        <f t="shared" si="120"/>
        <v>-11</v>
      </c>
      <c r="AR20" s="47">
        <f t="shared" si="121"/>
        <v>-11</v>
      </c>
      <c r="AS20" s="47">
        <f t="shared" si="122"/>
        <v>-11</v>
      </c>
      <c r="AT20" s="47">
        <f t="shared" si="123"/>
        <v>-11</v>
      </c>
      <c r="AU20" s="47">
        <f t="shared" si="124"/>
        <v>-11</v>
      </c>
      <c r="AV20" s="47">
        <f t="shared" si="125"/>
        <v>-11</v>
      </c>
      <c r="AW20" s="47">
        <f t="shared" si="126"/>
        <v>-11</v>
      </c>
      <c r="AX20" s="47">
        <f t="shared" si="127"/>
        <v>-11</v>
      </c>
      <c r="AY20" s="47">
        <f t="shared" si="128"/>
        <v>-11</v>
      </c>
      <c r="AZ20" s="47">
        <f t="shared" si="129"/>
        <v>-11</v>
      </c>
      <c r="BA20" s="47">
        <f t="shared" si="130"/>
        <v>-11</v>
      </c>
      <c r="BB20" s="47">
        <f t="shared" si="131"/>
        <v>-11</v>
      </c>
      <c r="BC20" s="47">
        <f t="shared" si="132"/>
        <v>-11</v>
      </c>
      <c r="BD20" s="47">
        <f t="shared" si="133"/>
        <v>-11</v>
      </c>
      <c r="BE20" s="47">
        <f t="shared" si="134"/>
        <v>-11</v>
      </c>
      <c r="BF20" s="47">
        <f t="shared" si="135"/>
        <v>-11</v>
      </c>
      <c r="BG20" s="47">
        <f t="shared" si="136"/>
        <v>-11</v>
      </c>
      <c r="BH20" s="47">
        <f t="shared" si="137"/>
        <v>-11</v>
      </c>
      <c r="BI20" s="47">
        <f t="shared" si="138"/>
        <v>-11</v>
      </c>
    </row>
    <row r="21" spans="1:61">
      <c r="A21" s="2" t="s">
        <v>118</v>
      </c>
      <c r="B21" s="47">
        <f>-'Costos y OPEX'!$B$21</f>
        <v>-8.25</v>
      </c>
      <c r="C21" s="47">
        <f t="shared" ref="C21" si="141">+B21</f>
        <v>-8.25</v>
      </c>
      <c r="D21" s="47">
        <f t="shared" si="81"/>
        <v>-8.25</v>
      </c>
      <c r="E21" s="47">
        <f t="shared" si="82"/>
        <v>-8.25</v>
      </c>
      <c r="F21" s="47">
        <f t="shared" si="83"/>
        <v>-8.25</v>
      </c>
      <c r="G21" s="47">
        <f t="shared" si="84"/>
        <v>-8.25</v>
      </c>
      <c r="H21" s="47">
        <f t="shared" si="85"/>
        <v>-8.25</v>
      </c>
      <c r="I21" s="47">
        <f t="shared" si="86"/>
        <v>-8.25</v>
      </c>
      <c r="J21" s="47">
        <f t="shared" si="87"/>
        <v>-8.25</v>
      </c>
      <c r="K21" s="47">
        <f t="shared" si="88"/>
        <v>-8.25</v>
      </c>
      <c r="L21" s="47">
        <f t="shared" si="89"/>
        <v>-8.25</v>
      </c>
      <c r="M21" s="47">
        <f t="shared" si="90"/>
        <v>-8.25</v>
      </c>
      <c r="N21" s="47">
        <f t="shared" si="91"/>
        <v>-8.25</v>
      </c>
      <c r="O21" s="47">
        <f t="shared" si="92"/>
        <v>-8.25</v>
      </c>
      <c r="P21" s="47">
        <f t="shared" si="93"/>
        <v>-8.25</v>
      </c>
      <c r="Q21" s="47">
        <f t="shared" si="94"/>
        <v>-8.25</v>
      </c>
      <c r="R21" s="47">
        <f t="shared" si="95"/>
        <v>-8.25</v>
      </c>
      <c r="S21" s="47">
        <f t="shared" si="96"/>
        <v>-8.25</v>
      </c>
      <c r="T21" s="47">
        <f t="shared" si="97"/>
        <v>-8.25</v>
      </c>
      <c r="U21" s="47">
        <f t="shared" si="98"/>
        <v>-8.25</v>
      </c>
      <c r="V21" s="47">
        <f t="shared" si="99"/>
        <v>-8.25</v>
      </c>
      <c r="W21" s="47">
        <f t="shared" si="100"/>
        <v>-8.25</v>
      </c>
      <c r="X21" s="47">
        <f t="shared" si="101"/>
        <v>-8.25</v>
      </c>
      <c r="Y21" s="47">
        <f t="shared" si="102"/>
        <v>-8.25</v>
      </c>
      <c r="Z21" s="47">
        <f t="shared" si="103"/>
        <v>-8.25</v>
      </c>
      <c r="AA21" s="47">
        <f t="shared" si="104"/>
        <v>-8.25</v>
      </c>
      <c r="AB21" s="47">
        <f t="shared" si="105"/>
        <v>-8.25</v>
      </c>
      <c r="AC21" s="47">
        <f t="shared" si="106"/>
        <v>-8.25</v>
      </c>
      <c r="AD21" s="47">
        <f t="shared" si="107"/>
        <v>-8.25</v>
      </c>
      <c r="AE21" s="47">
        <f t="shared" si="108"/>
        <v>-8.25</v>
      </c>
      <c r="AF21" s="47">
        <f t="shared" si="109"/>
        <v>-8.25</v>
      </c>
      <c r="AG21" s="47">
        <f t="shared" si="110"/>
        <v>-8.25</v>
      </c>
      <c r="AH21" s="47">
        <f t="shared" si="111"/>
        <v>-8.25</v>
      </c>
      <c r="AI21" s="47">
        <f t="shared" si="112"/>
        <v>-8.25</v>
      </c>
      <c r="AJ21" s="47">
        <f t="shared" si="113"/>
        <v>-8.25</v>
      </c>
      <c r="AK21" s="47">
        <f t="shared" si="114"/>
        <v>-8.25</v>
      </c>
      <c r="AL21" s="47">
        <f t="shared" si="115"/>
        <v>-8.25</v>
      </c>
      <c r="AM21" s="47">
        <f t="shared" si="116"/>
        <v>-8.25</v>
      </c>
      <c r="AN21" s="47">
        <f t="shared" si="117"/>
        <v>-8.25</v>
      </c>
      <c r="AO21" s="47">
        <f t="shared" si="118"/>
        <v>-8.25</v>
      </c>
      <c r="AP21" s="47">
        <f t="shared" si="119"/>
        <v>-8.25</v>
      </c>
      <c r="AQ21" s="47">
        <f t="shared" si="120"/>
        <v>-8.25</v>
      </c>
      <c r="AR21" s="47">
        <f t="shared" si="121"/>
        <v>-8.25</v>
      </c>
      <c r="AS21" s="47">
        <f t="shared" si="122"/>
        <v>-8.25</v>
      </c>
      <c r="AT21" s="47">
        <f t="shared" si="123"/>
        <v>-8.25</v>
      </c>
      <c r="AU21" s="47">
        <f t="shared" si="124"/>
        <v>-8.25</v>
      </c>
      <c r="AV21" s="47">
        <f t="shared" si="125"/>
        <v>-8.25</v>
      </c>
      <c r="AW21" s="47">
        <f t="shared" si="126"/>
        <v>-8.25</v>
      </c>
      <c r="AX21" s="47">
        <f t="shared" si="127"/>
        <v>-8.25</v>
      </c>
      <c r="AY21" s="47">
        <f t="shared" si="128"/>
        <v>-8.25</v>
      </c>
      <c r="AZ21" s="47">
        <f t="shared" si="129"/>
        <v>-8.25</v>
      </c>
      <c r="BA21" s="47">
        <f t="shared" si="130"/>
        <v>-8.25</v>
      </c>
      <c r="BB21" s="47">
        <f t="shared" si="131"/>
        <v>-8.25</v>
      </c>
      <c r="BC21" s="47">
        <f t="shared" si="132"/>
        <v>-8.25</v>
      </c>
      <c r="BD21" s="47">
        <f t="shared" si="133"/>
        <v>-8.25</v>
      </c>
      <c r="BE21" s="47">
        <f t="shared" si="134"/>
        <v>-8.25</v>
      </c>
      <c r="BF21" s="47">
        <f t="shared" si="135"/>
        <v>-8.25</v>
      </c>
      <c r="BG21" s="47">
        <f t="shared" si="136"/>
        <v>-8.25</v>
      </c>
      <c r="BH21" s="47">
        <f t="shared" si="137"/>
        <v>-8.25</v>
      </c>
      <c r="BI21" s="47">
        <f t="shared" si="138"/>
        <v>-8.25</v>
      </c>
    </row>
    <row r="22" spans="1:61">
      <c r="A22" s="2" t="s">
        <v>119</v>
      </c>
      <c r="B22" s="47">
        <f>-'Costos y OPEX'!$B$22</f>
        <v>-2.0833333333333335</v>
      </c>
      <c r="C22" s="47">
        <f t="shared" ref="C22" si="142">+B22</f>
        <v>-2.0833333333333335</v>
      </c>
      <c r="D22" s="47">
        <f t="shared" si="81"/>
        <v>-2.0833333333333335</v>
      </c>
      <c r="E22" s="47">
        <f t="shared" si="82"/>
        <v>-2.0833333333333335</v>
      </c>
      <c r="F22" s="47">
        <f t="shared" si="83"/>
        <v>-2.0833333333333335</v>
      </c>
      <c r="G22" s="47">
        <f t="shared" si="84"/>
        <v>-2.0833333333333335</v>
      </c>
      <c r="H22" s="47">
        <f t="shared" si="85"/>
        <v>-2.0833333333333335</v>
      </c>
      <c r="I22" s="47">
        <f t="shared" si="86"/>
        <v>-2.0833333333333335</v>
      </c>
      <c r="J22" s="47">
        <f t="shared" si="87"/>
        <v>-2.0833333333333335</v>
      </c>
      <c r="K22" s="47">
        <f t="shared" si="88"/>
        <v>-2.0833333333333335</v>
      </c>
      <c r="L22" s="47">
        <f t="shared" si="89"/>
        <v>-2.0833333333333335</v>
      </c>
      <c r="M22" s="47">
        <f t="shared" si="90"/>
        <v>-2.0833333333333335</v>
      </c>
      <c r="N22" s="47">
        <f t="shared" si="91"/>
        <v>-2.0833333333333335</v>
      </c>
      <c r="O22" s="47">
        <f t="shared" si="92"/>
        <v>-2.0833333333333335</v>
      </c>
      <c r="P22" s="47">
        <f t="shared" si="93"/>
        <v>-2.0833333333333335</v>
      </c>
      <c r="Q22" s="47">
        <f t="shared" si="94"/>
        <v>-2.0833333333333335</v>
      </c>
      <c r="R22" s="47">
        <f t="shared" si="95"/>
        <v>-2.0833333333333335</v>
      </c>
      <c r="S22" s="47">
        <f t="shared" si="96"/>
        <v>-2.0833333333333335</v>
      </c>
      <c r="T22" s="47">
        <f t="shared" si="97"/>
        <v>-2.0833333333333335</v>
      </c>
      <c r="U22" s="47">
        <f t="shared" si="98"/>
        <v>-2.0833333333333335</v>
      </c>
      <c r="V22" s="47">
        <f t="shared" si="99"/>
        <v>-2.0833333333333335</v>
      </c>
      <c r="W22" s="47">
        <f t="shared" si="100"/>
        <v>-2.0833333333333335</v>
      </c>
      <c r="X22" s="47">
        <f t="shared" si="101"/>
        <v>-2.0833333333333335</v>
      </c>
      <c r="Y22" s="47">
        <f t="shared" si="102"/>
        <v>-2.0833333333333335</v>
      </c>
      <c r="Z22" s="47">
        <f t="shared" si="103"/>
        <v>-2.0833333333333335</v>
      </c>
      <c r="AA22" s="47">
        <f t="shared" si="104"/>
        <v>-2.0833333333333335</v>
      </c>
      <c r="AB22" s="47">
        <f t="shared" si="105"/>
        <v>-2.0833333333333335</v>
      </c>
      <c r="AC22" s="47">
        <f t="shared" si="106"/>
        <v>-2.0833333333333335</v>
      </c>
      <c r="AD22" s="47">
        <f t="shared" si="107"/>
        <v>-2.0833333333333335</v>
      </c>
      <c r="AE22" s="47">
        <f t="shared" si="108"/>
        <v>-2.0833333333333335</v>
      </c>
      <c r="AF22" s="47">
        <f t="shared" si="109"/>
        <v>-2.0833333333333335</v>
      </c>
      <c r="AG22" s="47">
        <f t="shared" si="110"/>
        <v>-2.0833333333333335</v>
      </c>
      <c r="AH22" s="47">
        <f t="shared" si="111"/>
        <v>-2.0833333333333335</v>
      </c>
      <c r="AI22" s="47">
        <f t="shared" si="112"/>
        <v>-2.0833333333333335</v>
      </c>
      <c r="AJ22" s="47">
        <f t="shared" si="113"/>
        <v>-2.0833333333333335</v>
      </c>
      <c r="AK22" s="47">
        <f t="shared" si="114"/>
        <v>-2.0833333333333335</v>
      </c>
      <c r="AL22" s="47">
        <f t="shared" si="115"/>
        <v>-2.0833333333333335</v>
      </c>
      <c r="AM22" s="47">
        <f t="shared" si="116"/>
        <v>-2.0833333333333335</v>
      </c>
      <c r="AN22" s="47">
        <f t="shared" si="117"/>
        <v>-2.0833333333333335</v>
      </c>
      <c r="AO22" s="47">
        <f t="shared" si="118"/>
        <v>-2.0833333333333335</v>
      </c>
      <c r="AP22" s="47">
        <f t="shared" si="119"/>
        <v>-2.0833333333333335</v>
      </c>
      <c r="AQ22" s="47">
        <f t="shared" si="120"/>
        <v>-2.0833333333333335</v>
      </c>
      <c r="AR22" s="47">
        <f t="shared" si="121"/>
        <v>-2.0833333333333335</v>
      </c>
      <c r="AS22" s="47">
        <f t="shared" si="122"/>
        <v>-2.0833333333333335</v>
      </c>
      <c r="AT22" s="47">
        <f t="shared" si="123"/>
        <v>-2.0833333333333335</v>
      </c>
      <c r="AU22" s="47">
        <f t="shared" si="124"/>
        <v>-2.0833333333333335</v>
      </c>
      <c r="AV22" s="47">
        <f t="shared" si="125"/>
        <v>-2.0833333333333335</v>
      </c>
      <c r="AW22" s="47">
        <f t="shared" si="126"/>
        <v>-2.0833333333333335</v>
      </c>
      <c r="AX22" s="47">
        <f t="shared" si="127"/>
        <v>-2.0833333333333335</v>
      </c>
      <c r="AY22" s="47">
        <f t="shared" si="128"/>
        <v>-2.0833333333333335</v>
      </c>
      <c r="AZ22" s="47">
        <f t="shared" si="129"/>
        <v>-2.0833333333333335</v>
      </c>
      <c r="BA22" s="47">
        <f t="shared" si="130"/>
        <v>-2.0833333333333335</v>
      </c>
      <c r="BB22" s="47">
        <f t="shared" si="131"/>
        <v>-2.0833333333333335</v>
      </c>
      <c r="BC22" s="47">
        <f t="shared" si="132"/>
        <v>-2.0833333333333335</v>
      </c>
      <c r="BD22" s="47">
        <f t="shared" si="133"/>
        <v>-2.0833333333333335</v>
      </c>
      <c r="BE22" s="47">
        <f t="shared" si="134"/>
        <v>-2.0833333333333335</v>
      </c>
      <c r="BF22" s="47">
        <f t="shared" si="135"/>
        <v>-2.0833333333333335</v>
      </c>
      <c r="BG22" s="47">
        <f t="shared" si="136"/>
        <v>-2.0833333333333335</v>
      </c>
      <c r="BH22" s="47">
        <f t="shared" si="137"/>
        <v>-2.0833333333333335</v>
      </c>
      <c r="BI22" s="47">
        <f t="shared" si="138"/>
        <v>-2.0833333333333335</v>
      </c>
    </row>
    <row r="23" spans="1:61">
      <c r="A23" s="2" t="s">
        <v>122</v>
      </c>
      <c r="B23" s="47">
        <f>-'Costos y OPEX'!$B$23</f>
        <v>-1199</v>
      </c>
      <c r="C23" s="47">
        <f>-'Costos y OPEX'!$B$23</f>
        <v>-1199</v>
      </c>
      <c r="D23" s="47">
        <f>-'Costos y OPEX'!$B$23</f>
        <v>-1199</v>
      </c>
      <c r="E23" s="47">
        <f>-'Costos y OPEX'!$B$23</f>
        <v>-1199</v>
      </c>
      <c r="F23" s="47">
        <f>-'Costos y OPEX'!$B$23</f>
        <v>-1199</v>
      </c>
      <c r="G23" s="47">
        <f>-'Costos y OPEX'!$B$23</f>
        <v>-1199</v>
      </c>
      <c r="H23" s="47">
        <f>-'Costos y OPEX'!$B$23</f>
        <v>-1199</v>
      </c>
      <c r="I23" s="47">
        <f>-'Costos y OPEX'!$B$23</f>
        <v>-1199</v>
      </c>
      <c r="J23" s="47">
        <f>-'Costos y OPEX'!$B$23</f>
        <v>-1199</v>
      </c>
      <c r="K23" s="47">
        <f>-'Costos y OPEX'!$B$23</f>
        <v>-1199</v>
      </c>
      <c r="L23" s="47">
        <f>-'Costos y OPEX'!$B$23</f>
        <v>-1199</v>
      </c>
      <c r="M23" s="47">
        <f>-'Costos y OPEX'!$B$23</f>
        <v>-1199</v>
      </c>
      <c r="N23" s="47">
        <f>-'Costos y OPEX'!$B$23</f>
        <v>-1199</v>
      </c>
      <c r="O23" s="47">
        <f>-'Costos y OPEX'!$B$23</f>
        <v>-1199</v>
      </c>
      <c r="P23" s="47">
        <f>-'Costos y OPEX'!$B$23</f>
        <v>-1199</v>
      </c>
      <c r="Q23" s="47">
        <f>-'Costos y OPEX'!$B$23</f>
        <v>-1199</v>
      </c>
      <c r="R23" s="47">
        <f>-'Costos y OPEX'!$B$23</f>
        <v>-1199</v>
      </c>
      <c r="S23" s="47">
        <f>-'Costos y OPEX'!$B$23</f>
        <v>-1199</v>
      </c>
      <c r="T23" s="47">
        <f>-'Costos y OPEX'!$B$23</f>
        <v>-1199</v>
      </c>
      <c r="U23" s="47">
        <f>-'Costos y OPEX'!$B$23</f>
        <v>-1199</v>
      </c>
      <c r="V23" s="47">
        <f>-'Costos y OPEX'!$B$23</f>
        <v>-1199</v>
      </c>
      <c r="W23" s="47">
        <f>-'Costos y OPEX'!$B$23</f>
        <v>-1199</v>
      </c>
      <c r="X23" s="47">
        <f>-'Costos y OPEX'!$B$23</f>
        <v>-1199</v>
      </c>
      <c r="Y23" s="47">
        <f>-'Costos y OPEX'!$B$23</f>
        <v>-1199</v>
      </c>
      <c r="Z23" s="47">
        <f>-'Costos y OPEX'!$B$23</f>
        <v>-1199</v>
      </c>
      <c r="AA23" s="47">
        <f>-'Costos y OPEX'!$B$23</f>
        <v>-1199</v>
      </c>
      <c r="AB23" s="47">
        <f>-'Costos y OPEX'!$B$23</f>
        <v>-1199</v>
      </c>
      <c r="AC23" s="47">
        <f>-'Costos y OPEX'!$B$23</f>
        <v>-1199</v>
      </c>
      <c r="AD23" s="47">
        <f>-'Costos y OPEX'!$B$23</f>
        <v>-1199</v>
      </c>
      <c r="AE23" s="47">
        <f>-'Costos y OPEX'!$B$23</f>
        <v>-1199</v>
      </c>
      <c r="AF23" s="47">
        <f>-'Costos y OPEX'!$B$23</f>
        <v>-1199</v>
      </c>
      <c r="AG23" s="47">
        <f>-'Costos y OPEX'!$B$23</f>
        <v>-1199</v>
      </c>
      <c r="AH23" s="47">
        <f>-'Costos y OPEX'!$B$23</f>
        <v>-1199</v>
      </c>
      <c r="AI23" s="47">
        <f>-'Costos y OPEX'!$B$23</f>
        <v>-1199</v>
      </c>
      <c r="AJ23" s="47">
        <f>-'Costos y OPEX'!$B$23</f>
        <v>-1199</v>
      </c>
      <c r="AK23" s="47">
        <f>-'Costos y OPEX'!$B$23</f>
        <v>-1199</v>
      </c>
      <c r="AL23" s="47">
        <f>-'Costos y OPEX'!$B$23</f>
        <v>-1199</v>
      </c>
      <c r="AM23" s="47">
        <f>-'Costos y OPEX'!$B$23</f>
        <v>-1199</v>
      </c>
      <c r="AN23" s="47">
        <f>-'Costos y OPEX'!$B$23</f>
        <v>-1199</v>
      </c>
      <c r="AO23" s="47">
        <f>-'Costos y OPEX'!$B$23</f>
        <v>-1199</v>
      </c>
      <c r="AP23" s="47">
        <f>-'Costos y OPEX'!$B$23</f>
        <v>-1199</v>
      </c>
      <c r="AQ23" s="47">
        <f>-'Costos y OPEX'!$B$23</f>
        <v>-1199</v>
      </c>
      <c r="AR23" s="47">
        <f>-'Costos y OPEX'!$B$23</f>
        <v>-1199</v>
      </c>
      <c r="AS23" s="47">
        <f>-'Costos y OPEX'!$B$23</f>
        <v>-1199</v>
      </c>
      <c r="AT23" s="47">
        <f>-'Costos y OPEX'!$B$23</f>
        <v>-1199</v>
      </c>
      <c r="AU23" s="47">
        <f>-'Costos y OPEX'!$B$23</f>
        <v>-1199</v>
      </c>
      <c r="AV23" s="47">
        <f>-'Costos y OPEX'!$B$23</f>
        <v>-1199</v>
      </c>
      <c r="AW23" s="47">
        <f>-'Costos y OPEX'!$B$23</f>
        <v>-1199</v>
      </c>
      <c r="AX23" s="47">
        <f>-'Costos y OPEX'!$B$23</f>
        <v>-1199</v>
      </c>
      <c r="AY23" s="47">
        <f>-'Costos y OPEX'!$B$23</f>
        <v>-1199</v>
      </c>
      <c r="AZ23" s="47">
        <f>-'Costos y OPEX'!$B$23</f>
        <v>-1199</v>
      </c>
      <c r="BA23" s="47">
        <f>-'Costos y OPEX'!$B$23</f>
        <v>-1199</v>
      </c>
      <c r="BB23" s="47">
        <f>-'Costos y OPEX'!$B$23</f>
        <v>-1199</v>
      </c>
      <c r="BC23" s="47">
        <f>-'Costos y OPEX'!$B$23</f>
        <v>-1199</v>
      </c>
      <c r="BD23" s="47">
        <f>-'Costos y OPEX'!$B$23</f>
        <v>-1199</v>
      </c>
      <c r="BE23" s="47">
        <f>-'Costos y OPEX'!$B$23</f>
        <v>-1199</v>
      </c>
      <c r="BF23" s="47">
        <f>-'Costos y OPEX'!$B$23</f>
        <v>-1199</v>
      </c>
      <c r="BG23" s="47">
        <f>-'Costos y OPEX'!$B$23</f>
        <v>-1199</v>
      </c>
      <c r="BH23" s="47">
        <f>-'Costos y OPEX'!$B$23</f>
        <v>-1199</v>
      </c>
      <c r="BI23" s="47">
        <f>-'Costos y OPEX'!$B$23</f>
        <v>-1199</v>
      </c>
    </row>
    <row r="24" spans="1:61">
      <c r="A24" s="2" t="s">
        <v>123</v>
      </c>
      <c r="B24" s="47">
        <f>-'Costos y OPEX'!$B$24</f>
        <v>-2000</v>
      </c>
      <c r="C24" s="47">
        <f>+B24</f>
        <v>-2000</v>
      </c>
      <c r="D24" s="47">
        <f t="shared" si="81"/>
        <v>-2000</v>
      </c>
      <c r="E24" s="47">
        <f t="shared" si="82"/>
        <v>-2000</v>
      </c>
      <c r="F24" s="47">
        <f t="shared" si="83"/>
        <v>-2000</v>
      </c>
      <c r="G24" s="47">
        <f t="shared" si="84"/>
        <v>-2000</v>
      </c>
      <c r="H24" s="47">
        <f t="shared" si="85"/>
        <v>-2000</v>
      </c>
      <c r="I24" s="47">
        <f t="shared" si="86"/>
        <v>-2000</v>
      </c>
      <c r="J24" s="47">
        <f t="shared" si="87"/>
        <v>-2000</v>
      </c>
      <c r="K24" s="47">
        <f t="shared" si="88"/>
        <v>-2000</v>
      </c>
      <c r="L24" s="47">
        <f t="shared" si="89"/>
        <v>-2000</v>
      </c>
      <c r="M24" s="47">
        <f t="shared" si="90"/>
        <v>-2000</v>
      </c>
      <c r="N24" s="47">
        <f t="shared" si="91"/>
        <v>-2000</v>
      </c>
      <c r="O24" s="47">
        <f t="shared" si="92"/>
        <v>-2000</v>
      </c>
      <c r="P24" s="47">
        <f t="shared" si="93"/>
        <v>-2000</v>
      </c>
      <c r="Q24" s="47">
        <f t="shared" si="94"/>
        <v>-2000</v>
      </c>
      <c r="R24" s="47">
        <f t="shared" si="95"/>
        <v>-2000</v>
      </c>
      <c r="S24" s="47">
        <f t="shared" si="96"/>
        <v>-2000</v>
      </c>
      <c r="T24" s="47">
        <f t="shared" si="97"/>
        <v>-2000</v>
      </c>
      <c r="U24" s="47">
        <f t="shared" si="98"/>
        <v>-2000</v>
      </c>
      <c r="V24" s="47">
        <f t="shared" si="99"/>
        <v>-2000</v>
      </c>
      <c r="W24" s="47">
        <f t="shared" si="100"/>
        <v>-2000</v>
      </c>
      <c r="X24" s="47">
        <f t="shared" si="101"/>
        <v>-2000</v>
      </c>
      <c r="Y24" s="47">
        <f t="shared" si="102"/>
        <v>-2000</v>
      </c>
      <c r="Z24" s="47">
        <f t="shared" si="103"/>
        <v>-2000</v>
      </c>
      <c r="AA24" s="47">
        <f t="shared" si="104"/>
        <v>-2000</v>
      </c>
      <c r="AB24" s="47">
        <f t="shared" si="105"/>
        <v>-2000</v>
      </c>
      <c r="AC24" s="47">
        <f t="shared" si="106"/>
        <v>-2000</v>
      </c>
      <c r="AD24" s="47">
        <f t="shared" si="107"/>
        <v>-2000</v>
      </c>
      <c r="AE24" s="47">
        <f t="shared" si="108"/>
        <v>-2000</v>
      </c>
      <c r="AF24" s="47">
        <f t="shared" si="109"/>
        <v>-2000</v>
      </c>
      <c r="AG24" s="47">
        <f t="shared" si="110"/>
        <v>-2000</v>
      </c>
      <c r="AH24" s="47">
        <f t="shared" si="111"/>
        <v>-2000</v>
      </c>
      <c r="AI24" s="47">
        <f t="shared" si="112"/>
        <v>-2000</v>
      </c>
      <c r="AJ24" s="47">
        <f t="shared" si="113"/>
        <v>-2000</v>
      </c>
      <c r="AK24" s="47">
        <f t="shared" si="114"/>
        <v>-2000</v>
      </c>
      <c r="AL24" s="47">
        <f t="shared" si="115"/>
        <v>-2000</v>
      </c>
      <c r="AM24" s="47">
        <f t="shared" si="116"/>
        <v>-2000</v>
      </c>
      <c r="AN24" s="47">
        <f t="shared" si="117"/>
        <v>-2000</v>
      </c>
      <c r="AO24" s="47">
        <f t="shared" si="118"/>
        <v>-2000</v>
      </c>
      <c r="AP24" s="47">
        <f t="shared" si="119"/>
        <v>-2000</v>
      </c>
      <c r="AQ24" s="47">
        <f t="shared" si="120"/>
        <v>-2000</v>
      </c>
      <c r="AR24" s="47">
        <f t="shared" si="121"/>
        <v>-2000</v>
      </c>
      <c r="AS24" s="47">
        <f t="shared" si="122"/>
        <v>-2000</v>
      </c>
      <c r="AT24" s="47">
        <f t="shared" si="123"/>
        <v>-2000</v>
      </c>
      <c r="AU24" s="47">
        <f t="shared" si="124"/>
        <v>-2000</v>
      </c>
      <c r="AV24" s="47">
        <f t="shared" si="125"/>
        <v>-2000</v>
      </c>
      <c r="AW24" s="47">
        <f t="shared" si="126"/>
        <v>-2000</v>
      </c>
      <c r="AX24" s="47">
        <f t="shared" ref="AX24:BI25" si="143">+AW24</f>
        <v>-2000</v>
      </c>
      <c r="AY24" s="47">
        <f t="shared" si="143"/>
        <v>-2000</v>
      </c>
      <c r="AZ24" s="47">
        <f t="shared" si="143"/>
        <v>-2000</v>
      </c>
      <c r="BA24" s="47">
        <f t="shared" si="143"/>
        <v>-2000</v>
      </c>
      <c r="BB24" s="47">
        <f t="shared" si="143"/>
        <v>-2000</v>
      </c>
      <c r="BC24" s="47">
        <f t="shared" si="143"/>
        <v>-2000</v>
      </c>
      <c r="BD24" s="47">
        <f t="shared" si="143"/>
        <v>-2000</v>
      </c>
      <c r="BE24" s="47">
        <f t="shared" si="143"/>
        <v>-2000</v>
      </c>
      <c r="BF24" s="47">
        <f t="shared" si="143"/>
        <v>-2000</v>
      </c>
      <c r="BG24" s="47">
        <f t="shared" si="143"/>
        <v>-2000</v>
      </c>
      <c r="BH24" s="47">
        <f t="shared" si="143"/>
        <v>-2000</v>
      </c>
      <c r="BI24" s="47">
        <f t="shared" si="143"/>
        <v>-2000</v>
      </c>
    </row>
    <row r="25" spans="1:61">
      <c r="A25" s="2" t="s">
        <v>2</v>
      </c>
      <c r="B25" s="47">
        <f>-'Costos y OPEX'!$B$25</f>
        <v>-1500</v>
      </c>
      <c r="C25" s="47">
        <f t="shared" ref="C25" si="144">+B25</f>
        <v>-1500</v>
      </c>
      <c r="D25" s="47">
        <f t="shared" ref="D25" si="145">+C25</f>
        <v>-1500</v>
      </c>
      <c r="E25" s="47">
        <f t="shared" ref="E25" si="146">+D25</f>
        <v>-1500</v>
      </c>
      <c r="F25" s="47">
        <f t="shared" ref="F25" si="147">+E25</f>
        <v>-1500</v>
      </c>
      <c r="G25" s="47">
        <f t="shared" ref="G25" si="148">+F25</f>
        <v>-1500</v>
      </c>
      <c r="H25" s="47">
        <f t="shared" ref="H25" si="149">+G25</f>
        <v>-1500</v>
      </c>
      <c r="I25" s="47">
        <f t="shared" ref="I25" si="150">+H25</f>
        <v>-1500</v>
      </c>
      <c r="J25" s="47">
        <f t="shared" ref="J25" si="151">+I25</f>
        <v>-1500</v>
      </c>
      <c r="K25" s="47">
        <f t="shared" ref="K25" si="152">+J25</f>
        <v>-1500</v>
      </c>
      <c r="L25" s="47">
        <f t="shared" ref="L25" si="153">+K25</f>
        <v>-1500</v>
      </c>
      <c r="M25" s="47">
        <f t="shared" ref="M25" si="154">+L25</f>
        <v>-1500</v>
      </c>
      <c r="N25" s="47">
        <f t="shared" ref="N25" si="155">+M25</f>
        <v>-1500</v>
      </c>
      <c r="O25" s="47">
        <f t="shared" ref="O25" si="156">+N25</f>
        <v>-1500</v>
      </c>
      <c r="P25" s="47">
        <f t="shared" ref="P25" si="157">+O25</f>
        <v>-1500</v>
      </c>
      <c r="Q25" s="47">
        <f t="shared" ref="Q25" si="158">+P25</f>
        <v>-1500</v>
      </c>
      <c r="R25" s="47">
        <f t="shared" ref="R25" si="159">+Q25</f>
        <v>-1500</v>
      </c>
      <c r="S25" s="47">
        <f t="shared" ref="S25" si="160">+R25</f>
        <v>-1500</v>
      </c>
      <c r="T25" s="47">
        <f t="shared" ref="T25" si="161">+S25</f>
        <v>-1500</v>
      </c>
      <c r="U25" s="47">
        <f t="shared" ref="U25" si="162">+T25</f>
        <v>-1500</v>
      </c>
      <c r="V25" s="47">
        <f t="shared" ref="V25" si="163">+U25</f>
        <v>-1500</v>
      </c>
      <c r="W25" s="47">
        <f t="shared" ref="W25" si="164">+V25</f>
        <v>-1500</v>
      </c>
      <c r="X25" s="47">
        <f t="shared" ref="X25" si="165">+W25</f>
        <v>-1500</v>
      </c>
      <c r="Y25" s="47">
        <f t="shared" ref="Y25" si="166">+X25</f>
        <v>-1500</v>
      </c>
      <c r="Z25" s="47">
        <f t="shared" ref="Z25" si="167">+Y25</f>
        <v>-1500</v>
      </c>
      <c r="AA25" s="47">
        <f t="shared" ref="AA25" si="168">+Z25</f>
        <v>-1500</v>
      </c>
      <c r="AB25" s="47">
        <f t="shared" ref="AB25" si="169">+AA25</f>
        <v>-1500</v>
      </c>
      <c r="AC25" s="47">
        <f t="shared" ref="AC25" si="170">+AB25</f>
        <v>-1500</v>
      </c>
      <c r="AD25" s="47">
        <f t="shared" ref="AD25" si="171">+AC25</f>
        <v>-1500</v>
      </c>
      <c r="AE25" s="47">
        <f t="shared" ref="AE25" si="172">+AD25</f>
        <v>-1500</v>
      </c>
      <c r="AF25" s="47">
        <f t="shared" ref="AF25" si="173">+AE25</f>
        <v>-1500</v>
      </c>
      <c r="AG25" s="47">
        <f t="shared" ref="AG25" si="174">+AF25</f>
        <v>-1500</v>
      </c>
      <c r="AH25" s="47">
        <f t="shared" ref="AH25" si="175">+AG25</f>
        <v>-1500</v>
      </c>
      <c r="AI25" s="47">
        <f t="shared" ref="AI25" si="176">+AH25</f>
        <v>-1500</v>
      </c>
      <c r="AJ25" s="47">
        <f t="shared" ref="AJ25" si="177">+AI25</f>
        <v>-1500</v>
      </c>
      <c r="AK25" s="47">
        <f t="shared" ref="AK25" si="178">+AJ25</f>
        <v>-1500</v>
      </c>
      <c r="AL25" s="47">
        <f t="shared" ref="AL25" si="179">+AK25</f>
        <v>-1500</v>
      </c>
      <c r="AM25" s="47">
        <f t="shared" ref="AM25" si="180">+AL25</f>
        <v>-1500</v>
      </c>
      <c r="AN25" s="47">
        <f t="shared" ref="AN25" si="181">+AM25</f>
        <v>-1500</v>
      </c>
      <c r="AO25" s="47">
        <f t="shared" ref="AO25" si="182">+AN25</f>
        <v>-1500</v>
      </c>
      <c r="AP25" s="47">
        <f t="shared" ref="AP25" si="183">+AO25</f>
        <v>-1500</v>
      </c>
      <c r="AQ25" s="47">
        <f t="shared" ref="AQ25" si="184">+AP25</f>
        <v>-1500</v>
      </c>
      <c r="AR25" s="47">
        <f t="shared" ref="AR25" si="185">+AQ25</f>
        <v>-1500</v>
      </c>
      <c r="AS25" s="47">
        <f t="shared" ref="AS25" si="186">+AR25</f>
        <v>-1500</v>
      </c>
      <c r="AT25" s="47">
        <f t="shared" ref="AT25" si="187">+AS25</f>
        <v>-1500</v>
      </c>
      <c r="AU25" s="47">
        <f t="shared" ref="AU25" si="188">+AT25</f>
        <v>-1500</v>
      </c>
      <c r="AV25" s="47">
        <f t="shared" ref="AV25" si="189">+AU25</f>
        <v>-1500</v>
      </c>
      <c r="AW25" s="47">
        <f t="shared" ref="AW25" si="190">+AV25</f>
        <v>-1500</v>
      </c>
      <c r="AX25" s="47">
        <f t="shared" si="143"/>
        <v>-1500</v>
      </c>
      <c r="AY25" s="47">
        <f t="shared" si="143"/>
        <v>-1500</v>
      </c>
      <c r="AZ25" s="47">
        <f t="shared" si="143"/>
        <v>-1500</v>
      </c>
      <c r="BA25" s="47">
        <f t="shared" si="143"/>
        <v>-1500</v>
      </c>
      <c r="BB25" s="47">
        <f t="shared" si="143"/>
        <v>-1500</v>
      </c>
      <c r="BC25" s="47">
        <f t="shared" si="143"/>
        <v>-1500</v>
      </c>
      <c r="BD25" s="47">
        <f t="shared" si="143"/>
        <v>-1500</v>
      </c>
      <c r="BE25" s="47">
        <f t="shared" si="143"/>
        <v>-1500</v>
      </c>
      <c r="BF25" s="47">
        <f t="shared" si="143"/>
        <v>-1500</v>
      </c>
      <c r="BG25" s="47">
        <f t="shared" si="143"/>
        <v>-1500</v>
      </c>
      <c r="BH25" s="47">
        <f t="shared" si="143"/>
        <v>-1500</v>
      </c>
      <c r="BI25" s="47">
        <f t="shared" si="143"/>
        <v>-1500</v>
      </c>
    </row>
    <row r="26" spans="1:61" s="12" customFormat="1">
      <c r="A26" s="11" t="s">
        <v>5</v>
      </c>
      <c r="B26" s="48">
        <f>-'Costos y OPEX'!$B$26</f>
        <v>-11250</v>
      </c>
      <c r="C26" s="48">
        <f t="shared" ref="C26" si="191">+B26</f>
        <v>-11250</v>
      </c>
      <c r="D26" s="48">
        <f t="shared" ref="D26" si="192">+C26</f>
        <v>-11250</v>
      </c>
      <c r="E26" s="48">
        <f t="shared" ref="E26" si="193">+D26</f>
        <v>-11250</v>
      </c>
      <c r="F26" s="48">
        <f t="shared" ref="F26" si="194">+E26</f>
        <v>-11250</v>
      </c>
      <c r="G26" s="48">
        <f t="shared" ref="G26" si="195">+F26</f>
        <v>-11250</v>
      </c>
      <c r="H26" s="48">
        <f t="shared" ref="H26" si="196">+G26</f>
        <v>-11250</v>
      </c>
      <c r="I26" s="48">
        <f t="shared" ref="I26" si="197">+H26</f>
        <v>-11250</v>
      </c>
      <c r="J26" s="48">
        <f t="shared" ref="J26" si="198">+I26</f>
        <v>-11250</v>
      </c>
      <c r="K26" s="48">
        <f t="shared" ref="K26" si="199">+J26</f>
        <v>-11250</v>
      </c>
      <c r="L26" s="48">
        <f t="shared" ref="L26" si="200">+K26</f>
        <v>-11250</v>
      </c>
      <c r="M26" s="48">
        <f t="shared" ref="M26" si="201">+L26</f>
        <v>-11250</v>
      </c>
      <c r="N26" s="48">
        <f>-'Costos y OPEX'!$B$27</f>
        <v>-11250</v>
      </c>
      <c r="O26" s="48">
        <f t="shared" ref="O26" si="202">+N26</f>
        <v>-11250</v>
      </c>
      <c r="P26" s="48">
        <f t="shared" ref="P26" si="203">+O26</f>
        <v>-11250</v>
      </c>
      <c r="Q26" s="48">
        <f t="shared" ref="Q26" si="204">+P26</f>
        <v>-11250</v>
      </c>
      <c r="R26" s="48">
        <f t="shared" ref="R26" si="205">+Q26</f>
        <v>-11250</v>
      </c>
      <c r="S26" s="48">
        <f t="shared" ref="S26" si="206">+R26</f>
        <v>-11250</v>
      </c>
      <c r="T26" s="48">
        <f t="shared" ref="T26" si="207">+S26</f>
        <v>-11250</v>
      </c>
      <c r="U26" s="48">
        <f t="shared" ref="U26" si="208">+T26</f>
        <v>-11250</v>
      </c>
      <c r="V26" s="48">
        <f t="shared" ref="V26" si="209">+U26</f>
        <v>-11250</v>
      </c>
      <c r="W26" s="48">
        <f t="shared" ref="W26" si="210">+V26</f>
        <v>-11250</v>
      </c>
      <c r="X26" s="48">
        <f t="shared" ref="X26" si="211">+W26</f>
        <v>-11250</v>
      </c>
      <c r="Y26" s="48">
        <f t="shared" ref="Y26" si="212">+X26</f>
        <v>-11250</v>
      </c>
      <c r="Z26" s="48">
        <f>-'Costos y OPEX'!$B$28</f>
        <v>-9000</v>
      </c>
      <c r="AA26" s="48">
        <f t="shared" ref="AA26" si="213">+Z26</f>
        <v>-9000</v>
      </c>
      <c r="AB26" s="48">
        <f t="shared" ref="AB26" si="214">+AA26</f>
        <v>-9000</v>
      </c>
      <c r="AC26" s="48">
        <f t="shared" ref="AC26" si="215">+AB26</f>
        <v>-9000</v>
      </c>
      <c r="AD26" s="48">
        <f t="shared" ref="AD26" si="216">+AC26</f>
        <v>-9000</v>
      </c>
      <c r="AE26" s="48">
        <f t="shared" ref="AE26" si="217">+AD26</f>
        <v>-9000</v>
      </c>
      <c r="AF26" s="48">
        <f t="shared" ref="AF26" si="218">+AE26</f>
        <v>-9000</v>
      </c>
      <c r="AG26" s="48">
        <f t="shared" ref="AG26" si="219">+AF26</f>
        <v>-9000</v>
      </c>
      <c r="AH26" s="48">
        <f t="shared" ref="AH26" si="220">+AG26</f>
        <v>-9000</v>
      </c>
      <c r="AI26" s="48">
        <f t="shared" ref="AI26" si="221">+AH26</f>
        <v>-9000</v>
      </c>
      <c r="AJ26" s="48">
        <f t="shared" ref="AJ26" si="222">+AI26</f>
        <v>-9000</v>
      </c>
      <c r="AK26" s="48">
        <f t="shared" ref="AK26" si="223">+AJ26</f>
        <v>-9000</v>
      </c>
      <c r="AL26" s="48">
        <f>-'Costos y OPEX'!$B$29</f>
        <v>-7200</v>
      </c>
      <c r="AM26" s="48">
        <f t="shared" ref="AM26" si="224">+AL26</f>
        <v>-7200</v>
      </c>
      <c r="AN26" s="48">
        <f t="shared" ref="AN26" si="225">+AM26</f>
        <v>-7200</v>
      </c>
      <c r="AO26" s="48">
        <f t="shared" ref="AO26" si="226">+AN26</f>
        <v>-7200</v>
      </c>
      <c r="AP26" s="48">
        <f t="shared" ref="AP26" si="227">+AO26</f>
        <v>-7200</v>
      </c>
      <c r="AQ26" s="48">
        <f t="shared" ref="AQ26" si="228">+AP26</f>
        <v>-7200</v>
      </c>
      <c r="AR26" s="48">
        <f t="shared" ref="AR26" si="229">+AQ26</f>
        <v>-7200</v>
      </c>
      <c r="AS26" s="48">
        <f t="shared" ref="AS26" si="230">+AR26</f>
        <v>-7200</v>
      </c>
      <c r="AT26" s="48">
        <f t="shared" ref="AT26" si="231">+AS26</f>
        <v>-7200</v>
      </c>
      <c r="AU26" s="48">
        <f t="shared" ref="AU26" si="232">+AT26</f>
        <v>-7200</v>
      </c>
      <c r="AV26" s="48">
        <f t="shared" ref="AV26" si="233">+AU26</f>
        <v>-7200</v>
      </c>
      <c r="AW26" s="48">
        <f t="shared" ref="AW26" si="234">+AV26</f>
        <v>-7200</v>
      </c>
      <c r="AX26" s="48">
        <f>-'Costos y OPEX'!$B$30</f>
        <v>-5760</v>
      </c>
      <c r="AY26" s="48">
        <f t="shared" ref="AY26" si="235">+AX26</f>
        <v>-5760</v>
      </c>
      <c r="AZ26" s="48">
        <f t="shared" ref="AZ26" si="236">+AY26</f>
        <v>-5760</v>
      </c>
      <c r="BA26" s="48">
        <f t="shared" ref="BA26" si="237">+AZ26</f>
        <v>-5760</v>
      </c>
      <c r="BB26" s="48">
        <f t="shared" ref="BB26" si="238">+BA26</f>
        <v>-5760</v>
      </c>
      <c r="BC26" s="48">
        <f t="shared" ref="BC26" si="239">+BB26</f>
        <v>-5760</v>
      </c>
      <c r="BD26" s="48">
        <f t="shared" ref="BD26" si="240">+BC26</f>
        <v>-5760</v>
      </c>
      <c r="BE26" s="48">
        <f t="shared" ref="BE26" si="241">+BD26</f>
        <v>-5760</v>
      </c>
      <c r="BF26" s="48">
        <f t="shared" ref="BF26" si="242">+BE26</f>
        <v>-5760</v>
      </c>
      <c r="BG26" s="48">
        <f t="shared" ref="BG26" si="243">+BF26</f>
        <v>-5760</v>
      </c>
      <c r="BH26" s="48">
        <f t="shared" ref="BH26" si="244">+BG26</f>
        <v>-5760</v>
      </c>
      <c r="BI26" s="48">
        <f t="shared" ref="BI26" si="245">+BH26</f>
        <v>-5760</v>
      </c>
    </row>
    <row r="27" spans="1:61">
      <c r="A27" s="7" t="s">
        <v>8</v>
      </c>
      <c r="B27" s="49">
        <f>+B11+B12</f>
        <v>-56891.69666666667</v>
      </c>
      <c r="C27" s="49">
        <f t="shared" ref="C27:AG27" si="246">+C11+C12</f>
        <v>-55113.401666666672</v>
      </c>
      <c r="D27" s="49">
        <f t="shared" si="246"/>
        <v>-52922.661666666674</v>
      </c>
      <c r="E27" s="49">
        <f t="shared" si="246"/>
        <v>-50349.186666666676</v>
      </c>
      <c r="F27" s="49">
        <f t="shared" si="246"/>
        <v>-47247.226666666669</v>
      </c>
      <c r="G27" s="49">
        <f t="shared" si="246"/>
        <v>-43505.08666666667</v>
      </c>
      <c r="H27" s="49">
        <f t="shared" si="246"/>
        <v>-39108.89166666667</v>
      </c>
      <c r="I27" s="49">
        <f t="shared" si="246"/>
        <v>-33815.631666666668</v>
      </c>
      <c r="J27" s="49">
        <f t="shared" si="246"/>
        <v>-27499.456666666672</v>
      </c>
      <c r="K27" s="49">
        <f t="shared" si="246"/>
        <v>-20015.176666666674</v>
      </c>
      <c r="L27" s="49">
        <f t="shared" si="246"/>
        <v>-11090.911666666674</v>
      </c>
      <c r="M27" s="49">
        <f t="shared" si="246"/>
        <v>-551.28665406400978</v>
      </c>
      <c r="N27" s="49">
        <f t="shared" si="246"/>
        <v>22008.242879465601</v>
      </c>
      <c r="O27" s="49">
        <f t="shared" si="246"/>
        <v>43581.391193891002</v>
      </c>
      <c r="P27" s="49">
        <f t="shared" si="246"/>
        <v>68236.64440569561</v>
      </c>
      <c r="Q27" s="49">
        <f t="shared" si="246"/>
        <v>96403.144082264014</v>
      </c>
      <c r="R27" s="49">
        <f t="shared" si="246"/>
        <v>128524.45576171821</v>
      </c>
      <c r="S27" s="49">
        <f t="shared" si="246"/>
        <v>165227.08325327482</v>
      </c>
      <c r="T27" s="49">
        <f t="shared" si="246"/>
        <v>207151.66890488783</v>
      </c>
      <c r="U27" s="49">
        <f t="shared" si="246"/>
        <v>255156.49585132641</v>
      </c>
      <c r="V27" s="49">
        <f t="shared" si="246"/>
        <v>309910.19808601937</v>
      </c>
      <c r="W27" s="49">
        <f t="shared" si="246"/>
        <v>372497.26892704284</v>
      </c>
      <c r="X27" s="49">
        <f t="shared" si="246"/>
        <v>444000.48910047265</v>
      </c>
      <c r="Y27" s="49">
        <f t="shared" si="246"/>
        <v>535909.12499094929</v>
      </c>
      <c r="Z27" s="49">
        <f t="shared" si="246"/>
        <v>1085521.0105969864</v>
      </c>
      <c r="AA27" s="49">
        <f t="shared" si="246"/>
        <v>1239949.8127409022</v>
      </c>
      <c r="AB27" s="49">
        <f t="shared" si="246"/>
        <v>1402767.6037429636</v>
      </c>
      <c r="AC27" s="49">
        <f t="shared" si="246"/>
        <v>1574661.8392458139</v>
      </c>
      <c r="AD27" s="49">
        <f t="shared" si="246"/>
        <v>1756442.9426635564</v>
      </c>
      <c r="AE27" s="49">
        <f t="shared" si="246"/>
        <v>1948956.8463013328</v>
      </c>
      <c r="AF27" s="49">
        <f t="shared" si="246"/>
        <v>2153165.6111269733</v>
      </c>
      <c r="AG27" s="49">
        <f t="shared" si="246"/>
        <v>2370181.9159408789</v>
      </c>
      <c r="AH27" s="49">
        <f t="shared" ref="AH27:BI27" si="247">+AH11+AH12</f>
        <v>2601211.8672811436</v>
      </c>
      <c r="AI27" s="49">
        <f t="shared" si="247"/>
        <v>2847998.8446216811</v>
      </c>
      <c r="AJ27" s="49">
        <f t="shared" si="247"/>
        <v>3111810.6612624815</v>
      </c>
      <c r="AK27" s="49">
        <f t="shared" si="247"/>
        <v>3459251.5760640302</v>
      </c>
      <c r="AL27" s="49">
        <f t="shared" si="247"/>
        <v>6640123.754540029</v>
      </c>
      <c r="AM27" s="49">
        <f t="shared" si="247"/>
        <v>7128331.2176866541</v>
      </c>
      <c r="AN27" s="49">
        <f t="shared" si="247"/>
        <v>7623942.720687815</v>
      </c>
      <c r="AO27" s="49">
        <f t="shared" si="247"/>
        <v>8130655.4989146674</v>
      </c>
      <c r="AP27" s="49">
        <f t="shared" si="247"/>
        <v>8652095.90234573</v>
      </c>
      <c r="AQ27" s="49">
        <f t="shared" si="247"/>
        <v>9192549.7115124762</v>
      </c>
      <c r="AR27" s="49">
        <f t="shared" si="247"/>
        <v>9748448.3206328284</v>
      </c>
      <c r="AS27" s="49">
        <f t="shared" si="247"/>
        <v>10344361.675436923</v>
      </c>
      <c r="AT27" s="49">
        <f t="shared" si="247"/>
        <v>10978228.944796527</v>
      </c>
      <c r="AU27" s="49">
        <f t="shared" si="247"/>
        <v>11658577.648640601</v>
      </c>
      <c r="AV27" s="49">
        <f t="shared" si="247"/>
        <v>12395535.468099367</v>
      </c>
      <c r="AW27" s="49">
        <f t="shared" si="247"/>
        <v>13451705.367479254</v>
      </c>
      <c r="AX27" s="49">
        <f t="shared" si="247"/>
        <v>24234424.824672014</v>
      </c>
      <c r="AY27" s="49">
        <f t="shared" si="247"/>
        <v>25507359.247055143</v>
      </c>
      <c r="AZ27" s="49">
        <f t="shared" si="247"/>
        <v>26885727.348889481</v>
      </c>
      <c r="BA27" s="49">
        <f t="shared" si="247"/>
        <v>28395114.54065448</v>
      </c>
      <c r="BB27" s="49">
        <f t="shared" si="247"/>
        <v>30065736.225805968</v>
      </c>
      <c r="BC27" s="49">
        <f t="shared" si="247"/>
        <v>31933168.513981305</v>
      </c>
      <c r="BD27" s="49">
        <f t="shared" si="247"/>
        <v>34038227.158764496</v>
      </c>
      <c r="BE27" s="49">
        <f t="shared" si="247"/>
        <v>36431835.78348814</v>
      </c>
      <c r="BF27" s="49">
        <f t="shared" si="247"/>
        <v>39171546.073829405</v>
      </c>
      <c r="BG27" s="49">
        <f t="shared" si="247"/>
        <v>42325724.663345031</v>
      </c>
      <c r="BH27" s="49">
        <f t="shared" si="247"/>
        <v>45976730.183132507</v>
      </c>
      <c r="BI27" s="49">
        <f t="shared" si="247"/>
        <v>51174952.289541416</v>
      </c>
    </row>
    <row r="28" spans="1:61">
      <c r="A28" s="2" t="s">
        <v>9</v>
      </c>
      <c r="B28" s="47">
        <f>-'BU y Amort'!$F$2</f>
        <v>-329.84999999999997</v>
      </c>
      <c r="C28" s="47">
        <f>+B28</f>
        <v>-329.84999999999997</v>
      </c>
      <c r="D28" s="47">
        <f t="shared" ref="D28:BI28" si="248">+C28</f>
        <v>-329.84999999999997</v>
      </c>
      <c r="E28" s="47">
        <f t="shared" si="248"/>
        <v>-329.84999999999997</v>
      </c>
      <c r="F28" s="47">
        <f t="shared" si="248"/>
        <v>-329.84999999999997</v>
      </c>
      <c r="G28" s="47">
        <f t="shared" si="248"/>
        <v>-329.84999999999997</v>
      </c>
      <c r="H28" s="47">
        <f t="shared" si="248"/>
        <v>-329.84999999999997</v>
      </c>
      <c r="I28" s="47">
        <f t="shared" si="248"/>
        <v>-329.84999999999997</v>
      </c>
      <c r="J28" s="47">
        <f t="shared" si="248"/>
        <v>-329.84999999999997</v>
      </c>
      <c r="K28" s="47">
        <f t="shared" si="248"/>
        <v>-329.84999999999997</v>
      </c>
      <c r="L28" s="47">
        <f t="shared" si="248"/>
        <v>-329.84999999999997</v>
      </c>
      <c r="M28" s="47">
        <f t="shared" si="248"/>
        <v>-329.84999999999997</v>
      </c>
      <c r="N28" s="47">
        <f>-'BU y Amort'!$F$5-'BU y Amort'!$F$6</f>
        <v>0</v>
      </c>
      <c r="O28" s="47">
        <f t="shared" si="248"/>
        <v>0</v>
      </c>
      <c r="P28" s="47">
        <f t="shared" si="248"/>
        <v>0</v>
      </c>
      <c r="Q28" s="47">
        <f t="shared" si="248"/>
        <v>0</v>
      </c>
      <c r="R28" s="47">
        <f t="shared" si="248"/>
        <v>0</v>
      </c>
      <c r="S28" s="47">
        <f t="shared" si="248"/>
        <v>0</v>
      </c>
      <c r="T28" s="47">
        <f t="shared" si="248"/>
        <v>0</v>
      </c>
      <c r="U28" s="47">
        <f t="shared" si="248"/>
        <v>0</v>
      </c>
      <c r="V28" s="47">
        <f t="shared" si="248"/>
        <v>0</v>
      </c>
      <c r="W28" s="47">
        <f t="shared" si="248"/>
        <v>0</v>
      </c>
      <c r="X28" s="47">
        <f t="shared" si="248"/>
        <v>0</v>
      </c>
      <c r="Y28" s="47">
        <f t="shared" si="248"/>
        <v>0</v>
      </c>
      <c r="Z28" s="47">
        <f>-'BU y Amort'!$F$2</f>
        <v>-329.84999999999997</v>
      </c>
      <c r="AA28" s="47">
        <f t="shared" si="248"/>
        <v>-329.84999999999997</v>
      </c>
      <c r="AB28" s="47">
        <f t="shared" si="248"/>
        <v>-329.84999999999997</v>
      </c>
      <c r="AC28" s="47">
        <f t="shared" si="248"/>
        <v>-329.84999999999997</v>
      </c>
      <c r="AD28" s="47">
        <f t="shared" si="248"/>
        <v>-329.84999999999997</v>
      </c>
      <c r="AE28" s="47">
        <f t="shared" si="248"/>
        <v>-329.84999999999997</v>
      </c>
      <c r="AF28" s="47">
        <f t="shared" si="248"/>
        <v>-329.84999999999997</v>
      </c>
      <c r="AG28" s="47">
        <f t="shared" si="248"/>
        <v>-329.84999999999997</v>
      </c>
      <c r="AH28" s="47">
        <f t="shared" si="248"/>
        <v>-329.84999999999997</v>
      </c>
      <c r="AI28" s="47">
        <f t="shared" si="248"/>
        <v>-329.84999999999997</v>
      </c>
      <c r="AJ28" s="47">
        <f t="shared" si="248"/>
        <v>-329.84999999999997</v>
      </c>
      <c r="AK28" s="47">
        <f t="shared" si="248"/>
        <v>-329.84999999999997</v>
      </c>
      <c r="AL28" s="47">
        <f t="shared" si="248"/>
        <v>-329.84999999999997</v>
      </c>
      <c r="AM28" s="47">
        <f t="shared" si="248"/>
        <v>-329.84999999999997</v>
      </c>
      <c r="AN28" s="47">
        <f t="shared" si="248"/>
        <v>-329.84999999999997</v>
      </c>
      <c r="AO28" s="47">
        <f t="shared" si="248"/>
        <v>-329.84999999999997</v>
      </c>
      <c r="AP28" s="47">
        <f t="shared" si="248"/>
        <v>-329.84999999999997</v>
      </c>
      <c r="AQ28" s="47">
        <f t="shared" si="248"/>
        <v>-329.84999999999997</v>
      </c>
      <c r="AR28" s="47">
        <f t="shared" si="248"/>
        <v>-329.84999999999997</v>
      </c>
      <c r="AS28" s="47">
        <f t="shared" si="248"/>
        <v>-329.84999999999997</v>
      </c>
      <c r="AT28" s="47">
        <f t="shared" si="248"/>
        <v>-329.84999999999997</v>
      </c>
      <c r="AU28" s="47">
        <f t="shared" si="248"/>
        <v>-329.84999999999997</v>
      </c>
      <c r="AV28" s="47">
        <f t="shared" si="248"/>
        <v>-329.84999999999997</v>
      </c>
      <c r="AW28" s="47">
        <f t="shared" si="248"/>
        <v>-329.84999999999997</v>
      </c>
      <c r="AX28" s="47">
        <f t="shared" si="248"/>
        <v>-329.84999999999997</v>
      </c>
      <c r="AY28" s="47">
        <f t="shared" si="248"/>
        <v>-329.84999999999997</v>
      </c>
      <c r="AZ28" s="47">
        <f t="shared" si="248"/>
        <v>-329.84999999999997</v>
      </c>
      <c r="BA28" s="47">
        <f t="shared" si="248"/>
        <v>-329.84999999999997</v>
      </c>
      <c r="BB28" s="47">
        <f t="shared" si="248"/>
        <v>-329.84999999999997</v>
      </c>
      <c r="BC28" s="47">
        <f t="shared" si="248"/>
        <v>-329.84999999999997</v>
      </c>
      <c r="BD28" s="47">
        <f t="shared" si="248"/>
        <v>-329.84999999999997</v>
      </c>
      <c r="BE28" s="47">
        <f t="shared" si="248"/>
        <v>-329.84999999999997</v>
      </c>
      <c r="BF28" s="47">
        <f t="shared" si="248"/>
        <v>-329.84999999999997</v>
      </c>
      <c r="BG28" s="47">
        <f t="shared" si="248"/>
        <v>-329.84999999999997</v>
      </c>
      <c r="BH28" s="47">
        <f t="shared" si="248"/>
        <v>-329.84999999999997</v>
      </c>
      <c r="BI28" s="47">
        <f t="shared" si="248"/>
        <v>-329.84999999999997</v>
      </c>
    </row>
    <row r="29" spans="1:61">
      <c r="A29" s="16" t="s">
        <v>10</v>
      </c>
      <c r="B29" s="50">
        <f>+B27+B28</f>
        <v>-57221.546666666669</v>
      </c>
      <c r="C29" s="50">
        <f t="shared" ref="C29:BI29" si="249">+C27+C28</f>
        <v>-55443.251666666671</v>
      </c>
      <c r="D29" s="50">
        <f t="shared" si="249"/>
        <v>-53252.511666666673</v>
      </c>
      <c r="E29" s="50">
        <f t="shared" si="249"/>
        <v>-50679.036666666674</v>
      </c>
      <c r="F29" s="50">
        <f t="shared" si="249"/>
        <v>-47577.076666666668</v>
      </c>
      <c r="G29" s="50">
        <f t="shared" si="249"/>
        <v>-43834.936666666668</v>
      </c>
      <c r="H29" s="50">
        <f t="shared" si="249"/>
        <v>-39438.741666666669</v>
      </c>
      <c r="I29" s="50">
        <f t="shared" si="249"/>
        <v>-34145.481666666667</v>
      </c>
      <c r="J29" s="50">
        <f t="shared" si="249"/>
        <v>-27829.306666666671</v>
      </c>
      <c r="K29" s="50">
        <f t="shared" si="249"/>
        <v>-20345.026666666672</v>
      </c>
      <c r="L29" s="50">
        <f t="shared" si="249"/>
        <v>-11420.761666666675</v>
      </c>
      <c r="M29" s="50">
        <f t="shared" si="249"/>
        <v>-881.13665406400969</v>
      </c>
      <c r="N29" s="50">
        <f t="shared" si="249"/>
        <v>22008.242879465601</v>
      </c>
      <c r="O29" s="50">
        <f t="shared" si="249"/>
        <v>43581.391193891002</v>
      </c>
      <c r="P29" s="50">
        <f t="shared" si="249"/>
        <v>68236.64440569561</v>
      </c>
      <c r="Q29" s="50">
        <f t="shared" si="249"/>
        <v>96403.144082264014</v>
      </c>
      <c r="R29" s="50">
        <f t="shared" si="249"/>
        <v>128524.45576171821</v>
      </c>
      <c r="S29" s="50">
        <f t="shared" si="249"/>
        <v>165227.08325327482</v>
      </c>
      <c r="T29" s="50">
        <f t="shared" si="249"/>
        <v>207151.66890488783</v>
      </c>
      <c r="U29" s="50">
        <f t="shared" si="249"/>
        <v>255156.49585132641</v>
      </c>
      <c r="V29" s="50">
        <f t="shared" si="249"/>
        <v>309910.19808601937</v>
      </c>
      <c r="W29" s="50">
        <f t="shared" si="249"/>
        <v>372497.26892704284</v>
      </c>
      <c r="X29" s="50">
        <f t="shared" si="249"/>
        <v>444000.48910047265</v>
      </c>
      <c r="Y29" s="50">
        <f t="shared" si="249"/>
        <v>535909.12499094929</v>
      </c>
      <c r="Z29" s="50">
        <f t="shared" si="249"/>
        <v>1085191.1605969863</v>
      </c>
      <c r="AA29" s="50">
        <f t="shared" si="249"/>
        <v>1239619.9627409021</v>
      </c>
      <c r="AB29" s="50">
        <f t="shared" si="249"/>
        <v>1402437.7537429635</v>
      </c>
      <c r="AC29" s="50">
        <f t="shared" si="249"/>
        <v>1574331.9892458138</v>
      </c>
      <c r="AD29" s="50">
        <f t="shared" si="249"/>
        <v>1756113.0926635563</v>
      </c>
      <c r="AE29" s="50">
        <f t="shared" si="249"/>
        <v>1948626.9963013327</v>
      </c>
      <c r="AF29" s="50">
        <f t="shared" si="249"/>
        <v>2152835.7611269732</v>
      </c>
      <c r="AG29" s="50">
        <f t="shared" si="249"/>
        <v>2369852.0659408788</v>
      </c>
      <c r="AH29" s="50">
        <f t="shared" si="249"/>
        <v>2600882.0172811435</v>
      </c>
      <c r="AI29" s="50">
        <f t="shared" si="249"/>
        <v>2847668.994621681</v>
      </c>
      <c r="AJ29" s="50">
        <f t="shared" si="249"/>
        <v>3111480.8112624814</v>
      </c>
      <c r="AK29" s="50">
        <f t="shared" si="249"/>
        <v>3458921.7260640301</v>
      </c>
      <c r="AL29" s="50">
        <f t="shared" si="249"/>
        <v>6639793.9045400294</v>
      </c>
      <c r="AM29" s="50">
        <f t="shared" si="249"/>
        <v>7128001.3676866544</v>
      </c>
      <c r="AN29" s="50">
        <f t="shared" si="249"/>
        <v>7623612.8706878154</v>
      </c>
      <c r="AO29" s="50">
        <f t="shared" si="249"/>
        <v>8130325.6489146678</v>
      </c>
      <c r="AP29" s="50">
        <f t="shared" si="249"/>
        <v>8651766.0523457304</v>
      </c>
      <c r="AQ29" s="50">
        <f t="shared" si="249"/>
        <v>9192219.8615124766</v>
      </c>
      <c r="AR29" s="50">
        <f t="shared" si="249"/>
        <v>9748118.4706328288</v>
      </c>
      <c r="AS29" s="50">
        <f t="shared" si="249"/>
        <v>10344031.825436924</v>
      </c>
      <c r="AT29" s="50">
        <f t="shared" si="249"/>
        <v>10977899.094796527</v>
      </c>
      <c r="AU29" s="50">
        <f t="shared" si="249"/>
        <v>11658247.798640601</v>
      </c>
      <c r="AV29" s="50">
        <f t="shared" si="249"/>
        <v>12395205.618099367</v>
      </c>
      <c r="AW29" s="50">
        <f t="shared" si="249"/>
        <v>13451375.517479254</v>
      </c>
      <c r="AX29" s="50">
        <f t="shared" si="249"/>
        <v>24234094.974672012</v>
      </c>
      <c r="AY29" s="50">
        <f t="shared" si="249"/>
        <v>25507029.397055142</v>
      </c>
      <c r="AZ29" s="50">
        <f t="shared" si="249"/>
        <v>26885397.49888948</v>
      </c>
      <c r="BA29" s="50">
        <f t="shared" si="249"/>
        <v>28394784.690654479</v>
      </c>
      <c r="BB29" s="50">
        <f t="shared" si="249"/>
        <v>30065406.375805967</v>
      </c>
      <c r="BC29" s="50">
        <f t="shared" si="249"/>
        <v>31932838.663981304</v>
      </c>
      <c r="BD29" s="50">
        <f t="shared" si="249"/>
        <v>34037897.308764495</v>
      </c>
      <c r="BE29" s="50">
        <f t="shared" si="249"/>
        <v>36431505.933488138</v>
      </c>
      <c r="BF29" s="50">
        <f t="shared" si="249"/>
        <v>39171216.223829404</v>
      </c>
      <c r="BG29" s="50">
        <f t="shared" si="249"/>
        <v>42325394.81334503</v>
      </c>
      <c r="BH29" s="50">
        <f t="shared" si="249"/>
        <v>45976400.333132505</v>
      </c>
      <c r="BI29" s="50">
        <f t="shared" si="249"/>
        <v>51174622.439541414</v>
      </c>
    </row>
    <row r="30" spans="1:61">
      <c r="A30" s="2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>
      <c r="A31" s="2" t="s">
        <v>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>
      <c r="A32" s="16" t="s">
        <v>11</v>
      </c>
      <c r="B32" s="50">
        <f>+B29+B30+B31</f>
        <v>-57221.546666666669</v>
      </c>
      <c r="C32" s="50">
        <f t="shared" ref="C32:BI32" si="250">+C29+C30+C31</f>
        <v>-55443.251666666671</v>
      </c>
      <c r="D32" s="50">
        <f t="shared" si="250"/>
        <v>-53252.511666666673</v>
      </c>
      <c r="E32" s="50">
        <f t="shared" si="250"/>
        <v>-50679.036666666674</v>
      </c>
      <c r="F32" s="50">
        <f t="shared" si="250"/>
        <v>-47577.076666666668</v>
      </c>
      <c r="G32" s="50">
        <f t="shared" si="250"/>
        <v>-43834.936666666668</v>
      </c>
      <c r="H32" s="50">
        <f t="shared" si="250"/>
        <v>-39438.741666666669</v>
      </c>
      <c r="I32" s="50">
        <f t="shared" si="250"/>
        <v>-34145.481666666667</v>
      </c>
      <c r="J32" s="50">
        <f t="shared" si="250"/>
        <v>-27829.306666666671</v>
      </c>
      <c r="K32" s="50">
        <f t="shared" si="250"/>
        <v>-20345.026666666672</v>
      </c>
      <c r="L32" s="50">
        <f t="shared" si="250"/>
        <v>-11420.761666666675</v>
      </c>
      <c r="M32" s="50">
        <f t="shared" si="250"/>
        <v>-881.13665406400969</v>
      </c>
      <c r="N32" s="50">
        <f t="shared" si="250"/>
        <v>22008.242879465601</v>
      </c>
      <c r="O32" s="50">
        <f t="shared" si="250"/>
        <v>43581.391193891002</v>
      </c>
      <c r="P32" s="50">
        <f t="shared" si="250"/>
        <v>68236.64440569561</v>
      </c>
      <c r="Q32" s="50">
        <f t="shared" si="250"/>
        <v>96403.144082264014</v>
      </c>
      <c r="R32" s="50">
        <f t="shared" si="250"/>
        <v>128524.45576171821</v>
      </c>
      <c r="S32" s="50">
        <f t="shared" si="250"/>
        <v>165227.08325327482</v>
      </c>
      <c r="T32" s="50">
        <f t="shared" si="250"/>
        <v>207151.66890488783</v>
      </c>
      <c r="U32" s="50">
        <f t="shared" si="250"/>
        <v>255156.49585132641</v>
      </c>
      <c r="V32" s="50">
        <f t="shared" si="250"/>
        <v>309910.19808601937</v>
      </c>
      <c r="W32" s="50">
        <f t="shared" si="250"/>
        <v>372497.26892704284</v>
      </c>
      <c r="X32" s="50">
        <f t="shared" si="250"/>
        <v>444000.48910047265</v>
      </c>
      <c r="Y32" s="50">
        <f t="shared" si="250"/>
        <v>535909.12499094929</v>
      </c>
      <c r="Z32" s="50">
        <f t="shared" si="250"/>
        <v>1085191.1605969863</v>
      </c>
      <c r="AA32" s="50">
        <f t="shared" si="250"/>
        <v>1239619.9627409021</v>
      </c>
      <c r="AB32" s="50">
        <f t="shared" si="250"/>
        <v>1402437.7537429635</v>
      </c>
      <c r="AC32" s="50">
        <f t="shared" si="250"/>
        <v>1574331.9892458138</v>
      </c>
      <c r="AD32" s="50">
        <f t="shared" si="250"/>
        <v>1756113.0926635563</v>
      </c>
      <c r="AE32" s="50">
        <f t="shared" si="250"/>
        <v>1948626.9963013327</v>
      </c>
      <c r="AF32" s="50">
        <f t="shared" si="250"/>
        <v>2152835.7611269732</v>
      </c>
      <c r="AG32" s="50">
        <f t="shared" si="250"/>
        <v>2369852.0659408788</v>
      </c>
      <c r="AH32" s="50">
        <f t="shared" si="250"/>
        <v>2600882.0172811435</v>
      </c>
      <c r="AI32" s="50">
        <f t="shared" si="250"/>
        <v>2847668.994621681</v>
      </c>
      <c r="AJ32" s="50">
        <f t="shared" si="250"/>
        <v>3111480.8112624814</v>
      </c>
      <c r="AK32" s="50">
        <f t="shared" si="250"/>
        <v>3458921.7260640301</v>
      </c>
      <c r="AL32" s="50">
        <f t="shared" si="250"/>
        <v>6639793.9045400294</v>
      </c>
      <c r="AM32" s="50">
        <f t="shared" si="250"/>
        <v>7128001.3676866544</v>
      </c>
      <c r="AN32" s="50">
        <f t="shared" si="250"/>
        <v>7623612.8706878154</v>
      </c>
      <c r="AO32" s="50">
        <f t="shared" si="250"/>
        <v>8130325.6489146678</v>
      </c>
      <c r="AP32" s="50">
        <f t="shared" si="250"/>
        <v>8651766.0523457304</v>
      </c>
      <c r="AQ32" s="50">
        <f t="shared" si="250"/>
        <v>9192219.8615124766</v>
      </c>
      <c r="AR32" s="50">
        <f t="shared" si="250"/>
        <v>9748118.4706328288</v>
      </c>
      <c r="AS32" s="50">
        <f t="shared" si="250"/>
        <v>10344031.825436924</v>
      </c>
      <c r="AT32" s="50">
        <f t="shared" si="250"/>
        <v>10977899.094796527</v>
      </c>
      <c r="AU32" s="50">
        <f t="shared" si="250"/>
        <v>11658247.798640601</v>
      </c>
      <c r="AV32" s="50">
        <f t="shared" si="250"/>
        <v>12395205.618099367</v>
      </c>
      <c r="AW32" s="50">
        <f t="shared" si="250"/>
        <v>13451375.517479254</v>
      </c>
      <c r="AX32" s="50">
        <f t="shared" si="250"/>
        <v>24234094.974672012</v>
      </c>
      <c r="AY32" s="50">
        <f t="shared" si="250"/>
        <v>25507029.397055142</v>
      </c>
      <c r="AZ32" s="50">
        <f t="shared" si="250"/>
        <v>26885397.49888948</v>
      </c>
      <c r="BA32" s="50">
        <f t="shared" si="250"/>
        <v>28394784.690654479</v>
      </c>
      <c r="BB32" s="50">
        <f t="shared" si="250"/>
        <v>30065406.375805967</v>
      </c>
      <c r="BC32" s="50">
        <f t="shared" si="250"/>
        <v>31932838.663981304</v>
      </c>
      <c r="BD32" s="50">
        <f t="shared" si="250"/>
        <v>34037897.308764495</v>
      </c>
      <c r="BE32" s="50">
        <f t="shared" si="250"/>
        <v>36431505.933488138</v>
      </c>
      <c r="BF32" s="50">
        <f t="shared" si="250"/>
        <v>39171216.223829404</v>
      </c>
      <c r="BG32" s="50">
        <f t="shared" si="250"/>
        <v>42325394.81334503</v>
      </c>
      <c r="BH32" s="50">
        <f t="shared" si="250"/>
        <v>45976400.333132505</v>
      </c>
      <c r="BI32" s="50">
        <f t="shared" si="250"/>
        <v>51174622.439541414</v>
      </c>
    </row>
    <row r="33" spans="1:61">
      <c r="A33" s="2" t="s">
        <v>157</v>
      </c>
      <c r="B33" s="47">
        <f>IF(B32&gt;0,IF(B32&gt;210000,-B3*$B$38,IF(B32&lt;70000,-B3*$B$36,-B3*$B$37)),0)</f>
        <v>0</v>
      </c>
      <c r="C33" s="47">
        <f>IF(C32&gt;0,IF(C32&gt;210000,-C3*$B$38,IF(C32&lt;70000,-C3*$B$36,-C3*$B$37)),0)</f>
        <v>0</v>
      </c>
      <c r="D33" s="47">
        <f t="shared" ref="D33:AI33" si="251">IF(D32&gt;0,IF(D32&gt;210000,-D3*$B$38,IF(D32&lt;70000,-D3*$B$36,-D3*$B$37)),0)</f>
        <v>0</v>
      </c>
      <c r="E33" s="47">
        <f t="shared" si="251"/>
        <v>0</v>
      </c>
      <c r="F33" s="47">
        <f t="shared" si="251"/>
        <v>0</v>
      </c>
      <c r="G33" s="47">
        <f t="shared" si="251"/>
        <v>0</v>
      </c>
      <c r="H33" s="47">
        <f t="shared" si="251"/>
        <v>0</v>
      </c>
      <c r="I33" s="47">
        <f t="shared" si="251"/>
        <v>0</v>
      </c>
      <c r="J33" s="47">
        <f t="shared" si="251"/>
        <v>0</v>
      </c>
      <c r="K33" s="47">
        <f t="shared" si="251"/>
        <v>0</v>
      </c>
      <c r="L33" s="47">
        <f t="shared" si="251"/>
        <v>0</v>
      </c>
      <c r="M33" s="47">
        <f t="shared" si="251"/>
        <v>0</v>
      </c>
      <c r="N33" s="47">
        <f t="shared" si="251"/>
        <v>-22459.420800000004</v>
      </c>
      <c r="O33" s="47">
        <f t="shared" si="251"/>
        <v>-26907.063000000002</v>
      </c>
      <c r="P33" s="47">
        <f t="shared" si="251"/>
        <v>-31990.810800000003</v>
      </c>
      <c r="Q33" s="47">
        <f t="shared" si="251"/>
        <v>-75598.704000000012</v>
      </c>
      <c r="R33" s="47">
        <f t="shared" si="251"/>
        <v>-88848.865200000015</v>
      </c>
      <c r="S33" s="47">
        <f t="shared" si="251"/>
        <v>-103991.03280000002</v>
      </c>
      <c r="T33" s="47">
        <f t="shared" si="251"/>
        <v>-121290.25080000002</v>
      </c>
      <c r="U33" s="47">
        <f t="shared" si="251"/>
        <v>-158738.92920000001</v>
      </c>
      <c r="V33" s="47">
        <f t="shared" si="251"/>
        <v>-184164.03945000001</v>
      </c>
      <c r="W33" s="47">
        <f t="shared" si="251"/>
        <v>-213231.46590000004</v>
      </c>
      <c r="X33" s="47">
        <f t="shared" si="251"/>
        <v>-246445.81155000004</v>
      </c>
      <c r="Y33" s="47">
        <f t="shared" si="251"/>
        <v>-290037.75919326005</v>
      </c>
      <c r="Z33" s="47">
        <f t="shared" si="251"/>
        <v>-554115.07435509004</v>
      </c>
      <c r="AA33" s="47">
        <f t="shared" si="251"/>
        <v>-625826.03701779002</v>
      </c>
      <c r="AB33" s="47">
        <f t="shared" si="251"/>
        <v>-701467.42446810019</v>
      </c>
      <c r="AC33" s="47">
        <f t="shared" si="251"/>
        <v>-781366.57725942007</v>
      </c>
      <c r="AD33" s="47">
        <f t="shared" si="251"/>
        <v>-865909.28961540014</v>
      </c>
      <c r="AE33" s="47">
        <f t="shared" si="251"/>
        <v>-955500.06093417015</v>
      </c>
      <c r="AF33" s="47">
        <f t="shared" si="251"/>
        <v>-1050599.5061373</v>
      </c>
      <c r="AG33" s="47">
        <f t="shared" si="251"/>
        <v>-1151740.7226974701</v>
      </c>
      <c r="AH33" s="47">
        <f t="shared" si="251"/>
        <v>-1259503.5710235604</v>
      </c>
      <c r="AI33" s="47">
        <f t="shared" si="251"/>
        <v>-1374720.4313799301</v>
      </c>
      <c r="AJ33" s="47">
        <f t="shared" ref="AJ33:BI33" si="252">IF(AJ32&gt;0,IF(AJ32&gt;210000,-AJ3*$B$38,IF(AJ32&lt;70000,-AJ3*$B$36,-AJ3*$B$37)),0)</f>
        <v>-1498008.5745244203</v>
      </c>
      <c r="AK33" s="47">
        <f t="shared" si="252"/>
        <v>-1662033.6332040413</v>
      </c>
      <c r="AL33" s="47">
        <f t="shared" si="252"/>
        <v>-3135689.1853839005</v>
      </c>
      <c r="AM33" s="47">
        <f t="shared" si="252"/>
        <v>-3363790.7917054105</v>
      </c>
      <c r="AN33" s="47">
        <f t="shared" si="252"/>
        <v>-3595713.1595204771</v>
      </c>
      <c r="AO33" s="47">
        <f t="shared" si="252"/>
        <v>-3833241.5354658281</v>
      </c>
      <c r="AP33" s="47">
        <f t="shared" si="252"/>
        <v>-4078142.0981233255</v>
      </c>
      <c r="AQ33" s="47">
        <f t="shared" si="252"/>
        <v>-4332502.7995006768</v>
      </c>
      <c r="AR33" s="47">
        <f t="shared" si="252"/>
        <v>-4599086.1240464374</v>
      </c>
      <c r="AS33" s="47">
        <f t="shared" si="252"/>
        <v>-4880830.9357166607</v>
      </c>
      <c r="AT33" s="47">
        <f t="shared" si="252"/>
        <v>-5181248.1401133491</v>
      </c>
      <c r="AU33" s="47">
        <f t="shared" si="252"/>
        <v>-5504492.189690196</v>
      </c>
      <c r="AV33" s="47">
        <f t="shared" si="252"/>
        <v>-5855496.9436434954</v>
      </c>
      <c r="AW33" s="47">
        <f t="shared" si="252"/>
        <v>-6361176.9806831153</v>
      </c>
      <c r="AX33" s="47">
        <f t="shared" si="252"/>
        <v>-11369191.471475072</v>
      </c>
      <c r="AY33" s="47">
        <f t="shared" si="252"/>
        <v>-11975546.956898861</v>
      </c>
      <c r="AZ33" s="47">
        <f t="shared" si="252"/>
        <v>-12633882.017565262</v>
      </c>
      <c r="BA33" s="47">
        <f t="shared" si="252"/>
        <v>-13356636.957557026</v>
      </c>
      <c r="BB33" s="47">
        <f t="shared" si="252"/>
        <v>-14158506.886071898</v>
      </c>
      <c r="BC33" s="47">
        <f t="shared" si="252"/>
        <v>-15056801.319962511</v>
      </c>
      <c r="BD33" s="47">
        <f t="shared" si="252"/>
        <v>-16071412.597026803</v>
      </c>
      <c r="BE33" s="47">
        <f t="shared" si="252"/>
        <v>-17227099.838085707</v>
      </c>
      <c r="BF33" s="47">
        <f t="shared" si="252"/>
        <v>-18551912.041250791</v>
      </c>
      <c r="BG33" s="47">
        <f t="shared" si="252"/>
        <v>-20079168.325640559</v>
      </c>
      <c r="BH33" s="47">
        <f t="shared" si="252"/>
        <v>-21848978.952934291</v>
      </c>
      <c r="BI33" s="47">
        <f t="shared" si="252"/>
        <v>-24372731.568513956</v>
      </c>
    </row>
    <row r="34" spans="1:61">
      <c r="A34" s="7" t="s">
        <v>15</v>
      </c>
      <c r="B34" s="49">
        <f>+B32+B33</f>
        <v>-57221.546666666669</v>
      </c>
      <c r="C34" s="49">
        <f t="shared" ref="C34:BI34" si="253">+C32+C33</f>
        <v>-55443.251666666671</v>
      </c>
      <c r="D34" s="49">
        <f t="shared" si="253"/>
        <v>-53252.511666666673</v>
      </c>
      <c r="E34" s="49">
        <f t="shared" si="253"/>
        <v>-50679.036666666674</v>
      </c>
      <c r="F34" s="49">
        <f t="shared" si="253"/>
        <v>-47577.076666666668</v>
      </c>
      <c r="G34" s="49">
        <f t="shared" si="253"/>
        <v>-43834.936666666668</v>
      </c>
      <c r="H34" s="49">
        <f t="shared" si="253"/>
        <v>-39438.741666666669</v>
      </c>
      <c r="I34" s="49">
        <f t="shared" si="253"/>
        <v>-34145.481666666667</v>
      </c>
      <c r="J34" s="49">
        <f t="shared" si="253"/>
        <v>-27829.306666666671</v>
      </c>
      <c r="K34" s="49">
        <f t="shared" si="253"/>
        <v>-20345.026666666672</v>
      </c>
      <c r="L34" s="49">
        <f t="shared" si="253"/>
        <v>-11420.761666666675</v>
      </c>
      <c r="M34" s="49">
        <f t="shared" si="253"/>
        <v>-881.13665406400969</v>
      </c>
      <c r="N34" s="49">
        <f t="shared" si="253"/>
        <v>-451.1779205344028</v>
      </c>
      <c r="O34" s="49">
        <f t="shared" si="253"/>
        <v>16674.328193891</v>
      </c>
      <c r="P34" s="49">
        <f t="shared" si="253"/>
        <v>36245.833605695603</v>
      </c>
      <c r="Q34" s="49">
        <f t="shared" si="253"/>
        <v>20804.440082264002</v>
      </c>
      <c r="R34" s="49">
        <f t="shared" si="253"/>
        <v>39675.5905617182</v>
      </c>
      <c r="S34" s="49">
        <f t="shared" si="253"/>
        <v>61236.050453274802</v>
      </c>
      <c r="T34" s="49">
        <f t="shared" si="253"/>
        <v>85861.418104887809</v>
      </c>
      <c r="U34" s="49">
        <f t="shared" si="253"/>
        <v>96417.5666513264</v>
      </c>
      <c r="V34" s="49">
        <f t="shared" si="253"/>
        <v>125746.15863601936</v>
      </c>
      <c r="W34" s="49">
        <f t="shared" si="253"/>
        <v>159265.8030270428</v>
      </c>
      <c r="X34" s="49">
        <f t="shared" si="253"/>
        <v>197554.67755047261</v>
      </c>
      <c r="Y34" s="49">
        <f t="shared" si="253"/>
        <v>245871.36579768924</v>
      </c>
      <c r="Z34" s="49">
        <f t="shared" si="253"/>
        <v>531076.08624189626</v>
      </c>
      <c r="AA34" s="49">
        <f t="shared" si="253"/>
        <v>613793.92572311207</v>
      </c>
      <c r="AB34" s="49">
        <f t="shared" si="253"/>
        <v>700970.32927486335</v>
      </c>
      <c r="AC34" s="49">
        <f t="shared" si="253"/>
        <v>792965.41198639374</v>
      </c>
      <c r="AD34" s="49">
        <f t="shared" si="253"/>
        <v>890203.8030481562</v>
      </c>
      <c r="AE34" s="49">
        <f t="shared" si="253"/>
        <v>993126.93536716257</v>
      </c>
      <c r="AF34" s="49">
        <f t="shared" si="253"/>
        <v>1102236.2549896732</v>
      </c>
      <c r="AG34" s="49">
        <f t="shared" si="253"/>
        <v>1218111.3432434087</v>
      </c>
      <c r="AH34" s="49">
        <f t="shared" si="253"/>
        <v>1341378.4462575831</v>
      </c>
      <c r="AI34" s="49">
        <f t="shared" si="253"/>
        <v>1472948.5632417509</v>
      </c>
      <c r="AJ34" s="49">
        <f t="shared" si="253"/>
        <v>1613472.2367380611</v>
      </c>
      <c r="AK34" s="49">
        <f t="shared" si="253"/>
        <v>1796888.0928599888</v>
      </c>
      <c r="AL34" s="49">
        <f t="shared" si="253"/>
        <v>3504104.7191561288</v>
      </c>
      <c r="AM34" s="49">
        <f t="shared" si="253"/>
        <v>3764210.575981244</v>
      </c>
      <c r="AN34" s="49">
        <f t="shared" si="253"/>
        <v>4027899.7111673383</v>
      </c>
      <c r="AO34" s="49">
        <f t="shared" si="253"/>
        <v>4297084.1134488396</v>
      </c>
      <c r="AP34" s="49">
        <f t="shared" si="253"/>
        <v>4573623.9542224053</v>
      </c>
      <c r="AQ34" s="49">
        <f t="shared" si="253"/>
        <v>4859717.0620117998</v>
      </c>
      <c r="AR34" s="49">
        <f t="shared" si="253"/>
        <v>5149032.3465863913</v>
      </c>
      <c r="AS34" s="49">
        <f t="shared" si="253"/>
        <v>5463200.889720263</v>
      </c>
      <c r="AT34" s="49">
        <f t="shared" si="253"/>
        <v>5796650.9546831781</v>
      </c>
      <c r="AU34" s="49">
        <f t="shared" si="253"/>
        <v>6153755.6089504054</v>
      </c>
      <c r="AV34" s="49">
        <f t="shared" si="253"/>
        <v>6539708.6744558718</v>
      </c>
      <c r="AW34" s="49">
        <f t="shared" si="253"/>
        <v>7090198.5367961386</v>
      </c>
      <c r="AX34" s="49">
        <f t="shared" si="253"/>
        <v>12864903.50319694</v>
      </c>
      <c r="AY34" s="49">
        <f t="shared" si="253"/>
        <v>13531482.440156281</v>
      </c>
      <c r="AZ34" s="49">
        <f t="shared" si="253"/>
        <v>14251515.481324218</v>
      </c>
      <c r="BA34" s="49">
        <f t="shared" si="253"/>
        <v>15038147.733097453</v>
      </c>
      <c r="BB34" s="49">
        <f t="shared" si="253"/>
        <v>15906899.489734069</v>
      </c>
      <c r="BC34" s="49">
        <f t="shared" si="253"/>
        <v>16876037.344018795</v>
      </c>
      <c r="BD34" s="49">
        <f t="shared" si="253"/>
        <v>17966484.711737692</v>
      </c>
      <c r="BE34" s="49">
        <f t="shared" si="253"/>
        <v>19204406.095402431</v>
      </c>
      <c r="BF34" s="49">
        <f t="shared" si="253"/>
        <v>20619304.182578612</v>
      </c>
      <c r="BG34" s="49">
        <f t="shared" si="253"/>
        <v>22246226.487704471</v>
      </c>
      <c r="BH34" s="49">
        <f t="shared" si="253"/>
        <v>24127421.380198214</v>
      </c>
      <c r="BI34" s="49">
        <f t="shared" si="253"/>
        <v>26801890.871027458</v>
      </c>
    </row>
    <row r="35" spans="1:61" ht="15.75" thickBot="1"/>
    <row r="36" spans="1:61">
      <c r="A36" s="55" t="s">
        <v>153</v>
      </c>
      <c r="B36" s="109">
        <v>0.2</v>
      </c>
      <c r="C36" t="s">
        <v>156</v>
      </c>
    </row>
    <row r="37" spans="1:61">
      <c r="A37" s="73" t="s">
        <v>154</v>
      </c>
      <c r="B37" s="110">
        <v>0.4</v>
      </c>
      <c r="D37" t="s">
        <v>166</v>
      </c>
    </row>
    <row r="38" spans="1:61" ht="15.75" thickBot="1">
      <c r="A38" s="71" t="s">
        <v>155</v>
      </c>
      <c r="B38" s="72">
        <v>0.45</v>
      </c>
    </row>
    <row r="39" spans="1:61">
      <c r="D39">
        <f>150000*1.4</f>
        <v>210000</v>
      </c>
    </row>
    <row r="40" spans="1:61">
      <c r="D40">
        <f>50000*1.4</f>
        <v>70000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99BB-DD40-4CAB-A5FB-AB72DBF1F0A3}">
  <sheetPr>
    <tabColor rgb="FF00B0F0"/>
  </sheetPr>
  <dimension ref="A1:BK40"/>
  <sheetViews>
    <sheetView tabSelected="1" zoomScale="112" workbookViewId="0"/>
  </sheetViews>
  <sheetFormatPr baseColWidth="10" defaultColWidth="8.85546875" defaultRowHeight="15"/>
  <cols>
    <col min="1" max="1" width="30.7109375" customWidth="1"/>
    <col min="2" max="2" width="11.28515625" customWidth="1"/>
    <col min="3" max="4" width="10.140625" customWidth="1"/>
    <col min="5" max="5" width="14.42578125" bestFit="1" customWidth="1"/>
    <col min="6" max="6" width="10.28515625" customWidth="1"/>
    <col min="7" max="7" width="12.28515625" customWidth="1"/>
    <col min="8" max="8" width="13.42578125" bestFit="1" customWidth="1"/>
    <col min="9" max="13" width="8" bestFit="1" customWidth="1"/>
    <col min="14" max="14" width="9.7109375" bestFit="1" customWidth="1"/>
    <col min="15" max="15" width="8" bestFit="1" customWidth="1"/>
    <col min="16" max="23" width="9.7109375" bestFit="1" customWidth="1"/>
    <col min="24" max="37" width="10.85546875" bestFit="1" customWidth="1"/>
    <col min="38" max="38" width="11.85546875" bestFit="1" customWidth="1"/>
    <col min="39" max="42" width="10.85546875" bestFit="1" customWidth="1"/>
    <col min="43" max="54" width="11.85546875" bestFit="1" customWidth="1"/>
    <col min="55" max="61" width="13.42578125" bestFit="1" customWidth="1"/>
    <col min="62" max="62" width="25.42578125" bestFit="1" customWidth="1"/>
    <col min="63" max="63" width="24.28515625" bestFit="1" customWidth="1"/>
  </cols>
  <sheetData>
    <row r="1" spans="1:61" ht="45">
      <c r="A1" s="6" t="s">
        <v>1</v>
      </c>
      <c r="B1" s="13" t="s">
        <v>183</v>
      </c>
      <c r="I1" s="1"/>
      <c r="J1" s="1"/>
    </row>
    <row r="2" spans="1:61">
      <c r="A2" s="3" t="s">
        <v>38</v>
      </c>
      <c r="B2" s="34">
        <v>0</v>
      </c>
      <c r="D2" t="s">
        <v>163</v>
      </c>
      <c r="G2" t="s">
        <v>178</v>
      </c>
      <c r="I2" s="54"/>
    </row>
    <row r="3" spans="1:61">
      <c r="A3" s="3" t="s">
        <v>29</v>
      </c>
      <c r="B3" s="34">
        <v>15</v>
      </c>
      <c r="D3" t="s">
        <v>52</v>
      </c>
      <c r="E3" s="28">
        <v>16820000</v>
      </c>
      <c r="G3" t="s">
        <v>179</v>
      </c>
      <c r="H3" s="28">
        <f>+BI23+BI24</f>
        <v>4924673</v>
      </c>
      <c r="L3" s="126"/>
      <c r="M3" s="126"/>
    </row>
    <row r="4" spans="1:61">
      <c r="A4" s="3" t="s">
        <v>30</v>
      </c>
      <c r="B4" s="34">
        <v>80</v>
      </c>
      <c r="D4" t="s">
        <v>53</v>
      </c>
      <c r="E4" s="28">
        <v>9600000</v>
      </c>
      <c r="G4" t="s">
        <v>180</v>
      </c>
      <c r="H4" s="28">
        <f>+BI25</f>
        <v>8621</v>
      </c>
      <c r="L4" s="126"/>
    </row>
    <row r="5" spans="1:61">
      <c r="A5" s="3" t="s">
        <v>31</v>
      </c>
      <c r="B5" s="34">
        <v>30</v>
      </c>
      <c r="G5" t="s">
        <v>181</v>
      </c>
      <c r="H5" s="28">
        <f>+BI26</f>
        <v>12435</v>
      </c>
      <c r="J5" s="1"/>
      <c r="L5" s="126"/>
    </row>
    <row r="6" spans="1:61">
      <c r="A6" s="3" t="s">
        <v>55</v>
      </c>
      <c r="B6" s="34">
        <v>35</v>
      </c>
      <c r="G6" t="s">
        <v>182</v>
      </c>
      <c r="H6" s="30">
        <f>+H3/(E3+E4)</f>
        <v>0.18639943224829675</v>
      </c>
      <c r="J6" s="1"/>
      <c r="L6" s="1"/>
    </row>
    <row r="7" spans="1:61" ht="15.75" thickBot="1"/>
    <row r="8" spans="1:61" ht="15.75" thickBot="1">
      <c r="A8" s="123" t="s">
        <v>141</v>
      </c>
      <c r="B8" s="78" t="s">
        <v>32</v>
      </c>
      <c r="C8" s="78" t="s">
        <v>33</v>
      </c>
      <c r="D8" s="78" t="s">
        <v>34</v>
      </c>
      <c r="E8" s="78" t="s">
        <v>35</v>
      </c>
      <c r="F8" s="78" t="s">
        <v>36</v>
      </c>
    </row>
    <row r="9" spans="1:61">
      <c r="A9" s="73" t="s">
        <v>184</v>
      </c>
      <c r="B9" s="149">
        <v>0.25</v>
      </c>
      <c r="C9" s="150"/>
      <c r="D9" s="150"/>
      <c r="E9" s="150"/>
      <c r="F9" s="151"/>
    </row>
    <row r="10" spans="1:61">
      <c r="A10" s="73" t="s">
        <v>51</v>
      </c>
      <c r="B10" s="152">
        <v>0.3</v>
      </c>
      <c r="C10" s="153"/>
      <c r="D10" s="153"/>
      <c r="E10" s="153"/>
      <c r="F10" s="154"/>
    </row>
    <row r="11" spans="1:61">
      <c r="A11" s="73" t="s">
        <v>167</v>
      </c>
      <c r="B11" s="74">
        <f>300%/12</f>
        <v>0.25</v>
      </c>
      <c r="C11" s="75">
        <f>+B11*80%</f>
        <v>0.2</v>
      </c>
      <c r="D11" s="75">
        <f>+C11*50%</f>
        <v>0.1</v>
      </c>
      <c r="E11" s="75">
        <f>+D11*30%</f>
        <v>0.03</v>
      </c>
      <c r="F11" s="75">
        <f>+E11*30%</f>
        <v>8.9999999999999993E-3</v>
      </c>
      <c r="G11" s="124" t="s">
        <v>185</v>
      </c>
    </row>
    <row r="12" spans="1:61">
      <c r="A12" s="73" t="s">
        <v>125</v>
      </c>
      <c r="B12" s="74">
        <f>300%/12</f>
        <v>0.25</v>
      </c>
      <c r="C12" s="75">
        <f>+B12*80%</f>
        <v>0.2</v>
      </c>
      <c r="D12" s="75">
        <f>+C12*50%</f>
        <v>0.1</v>
      </c>
      <c r="E12" s="75">
        <f>+D12*30%</f>
        <v>0.03</v>
      </c>
      <c r="F12" s="75">
        <f>+E12*30%</f>
        <v>8.9999999999999993E-3</v>
      </c>
      <c r="G12" s="124" t="s">
        <v>185</v>
      </c>
    </row>
    <row r="13" spans="1:61" ht="15.75" thickBot="1">
      <c r="A13" s="71" t="s">
        <v>161</v>
      </c>
      <c r="B13" s="76">
        <v>2</v>
      </c>
      <c r="C13" s="77">
        <f>+B13*2</f>
        <v>4</v>
      </c>
      <c r="D13" s="77">
        <f>+C13*2</f>
        <v>8</v>
      </c>
      <c r="E13" s="77">
        <f>+D13*2</f>
        <v>16</v>
      </c>
      <c r="F13" s="77">
        <f>+E13*2</f>
        <v>32</v>
      </c>
      <c r="G13" s="124" t="s">
        <v>186</v>
      </c>
    </row>
    <row r="14" spans="1:61" ht="15.75" thickBot="1">
      <c r="A14" s="71" t="s">
        <v>162</v>
      </c>
      <c r="B14" s="114">
        <v>0.05</v>
      </c>
      <c r="G14" s="32"/>
    </row>
    <row r="15" spans="1:61" ht="15.75" thickBot="1">
      <c r="G15" s="32"/>
    </row>
    <row r="16" spans="1:61" ht="15.75" thickBot="1">
      <c r="A16" s="66"/>
      <c r="B16" s="96" t="s">
        <v>39</v>
      </c>
      <c r="C16" s="60" t="s">
        <v>40</v>
      </c>
      <c r="D16" s="60" t="s">
        <v>41</v>
      </c>
      <c r="E16" s="60" t="s">
        <v>42</v>
      </c>
      <c r="F16" s="60" t="s">
        <v>43</v>
      </c>
      <c r="G16" s="60" t="s">
        <v>44</v>
      </c>
      <c r="H16" s="60" t="s">
        <v>45</v>
      </c>
      <c r="I16" s="60" t="s">
        <v>46</v>
      </c>
      <c r="J16" s="60" t="s">
        <v>47</v>
      </c>
      <c r="K16" s="60" t="s">
        <v>48</v>
      </c>
      <c r="L16" s="60" t="s">
        <v>49</v>
      </c>
      <c r="M16" s="60" t="s">
        <v>50</v>
      </c>
      <c r="N16" s="60" t="s">
        <v>61</v>
      </c>
      <c r="O16" s="60" t="s">
        <v>62</v>
      </c>
      <c r="P16" s="60" t="s">
        <v>63</v>
      </c>
      <c r="Q16" s="60" t="s">
        <v>64</v>
      </c>
      <c r="R16" s="60" t="s">
        <v>65</v>
      </c>
      <c r="S16" s="60" t="s">
        <v>66</v>
      </c>
      <c r="T16" s="60" t="s">
        <v>67</v>
      </c>
      <c r="U16" s="60" t="s">
        <v>68</v>
      </c>
      <c r="V16" s="60" t="s">
        <v>69</v>
      </c>
      <c r="W16" s="60" t="s">
        <v>70</v>
      </c>
      <c r="X16" s="60" t="s">
        <v>71</v>
      </c>
      <c r="Y16" s="60" t="s">
        <v>72</v>
      </c>
      <c r="Z16" s="60" t="s">
        <v>73</v>
      </c>
      <c r="AA16" s="60" t="s">
        <v>74</v>
      </c>
      <c r="AB16" s="60" t="s">
        <v>75</v>
      </c>
      <c r="AC16" s="60" t="s">
        <v>76</v>
      </c>
      <c r="AD16" s="60" t="s">
        <v>77</v>
      </c>
      <c r="AE16" s="60" t="s">
        <v>78</v>
      </c>
      <c r="AF16" s="60" t="s">
        <v>79</v>
      </c>
      <c r="AG16" s="60" t="s">
        <v>80</v>
      </c>
      <c r="AH16" s="60" t="s">
        <v>81</v>
      </c>
      <c r="AI16" s="60" t="s">
        <v>82</v>
      </c>
      <c r="AJ16" s="60" t="s">
        <v>83</v>
      </c>
      <c r="AK16" s="60" t="s">
        <v>84</v>
      </c>
      <c r="AL16" s="60" t="s">
        <v>85</v>
      </c>
      <c r="AM16" s="60" t="s">
        <v>86</v>
      </c>
      <c r="AN16" s="60" t="s">
        <v>87</v>
      </c>
      <c r="AO16" s="60" t="s">
        <v>88</v>
      </c>
      <c r="AP16" s="60" t="s">
        <v>89</v>
      </c>
      <c r="AQ16" s="60" t="s">
        <v>90</v>
      </c>
      <c r="AR16" s="60" t="s">
        <v>91</v>
      </c>
      <c r="AS16" s="60" t="s">
        <v>92</v>
      </c>
      <c r="AT16" s="60" t="s">
        <v>93</v>
      </c>
      <c r="AU16" s="60" t="s">
        <v>94</v>
      </c>
      <c r="AV16" s="60" t="s">
        <v>95</v>
      </c>
      <c r="AW16" s="60" t="s">
        <v>96</v>
      </c>
      <c r="AX16" s="60" t="s">
        <v>97</v>
      </c>
      <c r="AY16" s="60" t="s">
        <v>98</v>
      </c>
      <c r="AZ16" s="60" t="s">
        <v>99</v>
      </c>
      <c r="BA16" s="60" t="s">
        <v>100</v>
      </c>
      <c r="BB16" s="60" t="s">
        <v>101</v>
      </c>
      <c r="BC16" s="60" t="s">
        <v>102</v>
      </c>
      <c r="BD16" s="60" t="s">
        <v>103</v>
      </c>
      <c r="BE16" s="60" t="s">
        <v>104</v>
      </c>
      <c r="BF16" s="60" t="s">
        <v>105</v>
      </c>
      <c r="BG16" s="60" t="s">
        <v>106</v>
      </c>
      <c r="BH16" s="60" t="s">
        <v>107</v>
      </c>
      <c r="BI16" s="61" t="s">
        <v>108</v>
      </c>
    </row>
    <row r="17" spans="1:63" hidden="1">
      <c r="A17" s="67"/>
      <c r="B17" s="97">
        <v>1</v>
      </c>
      <c r="C17" s="21">
        <f>+B17+1</f>
        <v>2</v>
      </c>
      <c r="D17" s="21">
        <f t="shared" ref="D17:BI17" si="0">+C17+1</f>
        <v>3</v>
      </c>
      <c r="E17" s="21">
        <f t="shared" si="0"/>
        <v>4</v>
      </c>
      <c r="F17" s="21">
        <f t="shared" si="0"/>
        <v>5</v>
      </c>
      <c r="G17" s="21">
        <f t="shared" si="0"/>
        <v>6</v>
      </c>
      <c r="H17" s="21">
        <f t="shared" si="0"/>
        <v>7</v>
      </c>
      <c r="I17" s="21">
        <f t="shared" si="0"/>
        <v>8</v>
      </c>
      <c r="J17" s="21">
        <f t="shared" si="0"/>
        <v>9</v>
      </c>
      <c r="K17" s="21">
        <f t="shared" si="0"/>
        <v>10</v>
      </c>
      <c r="L17" s="21">
        <f t="shared" si="0"/>
        <v>11</v>
      </c>
      <c r="M17" s="21">
        <f t="shared" si="0"/>
        <v>12</v>
      </c>
      <c r="N17" s="21">
        <f t="shared" si="0"/>
        <v>13</v>
      </c>
      <c r="O17" s="21">
        <f t="shared" si="0"/>
        <v>14</v>
      </c>
      <c r="P17" s="21">
        <f t="shared" si="0"/>
        <v>15</v>
      </c>
      <c r="Q17" s="21">
        <f t="shared" si="0"/>
        <v>16</v>
      </c>
      <c r="R17" s="21">
        <f t="shared" si="0"/>
        <v>17</v>
      </c>
      <c r="S17" s="21">
        <f t="shared" si="0"/>
        <v>18</v>
      </c>
      <c r="T17" s="21">
        <f t="shared" si="0"/>
        <v>19</v>
      </c>
      <c r="U17" s="21">
        <f t="shared" si="0"/>
        <v>20</v>
      </c>
      <c r="V17" s="21">
        <f t="shared" si="0"/>
        <v>21</v>
      </c>
      <c r="W17" s="21">
        <f t="shared" si="0"/>
        <v>22</v>
      </c>
      <c r="X17" s="21">
        <f t="shared" si="0"/>
        <v>23</v>
      </c>
      <c r="Y17" s="21">
        <f t="shared" si="0"/>
        <v>24</v>
      </c>
      <c r="Z17" s="21">
        <f t="shared" si="0"/>
        <v>25</v>
      </c>
      <c r="AA17" s="21">
        <f t="shared" si="0"/>
        <v>26</v>
      </c>
      <c r="AB17" s="21">
        <f t="shared" si="0"/>
        <v>27</v>
      </c>
      <c r="AC17" s="21">
        <f t="shared" si="0"/>
        <v>28</v>
      </c>
      <c r="AD17" s="21">
        <f t="shared" si="0"/>
        <v>29</v>
      </c>
      <c r="AE17" s="21">
        <f t="shared" si="0"/>
        <v>30</v>
      </c>
      <c r="AF17" s="21">
        <f t="shared" si="0"/>
        <v>31</v>
      </c>
      <c r="AG17" s="21">
        <f t="shared" si="0"/>
        <v>32</v>
      </c>
      <c r="AH17" s="21">
        <f t="shared" si="0"/>
        <v>33</v>
      </c>
      <c r="AI17" s="21">
        <f t="shared" si="0"/>
        <v>34</v>
      </c>
      <c r="AJ17" s="21">
        <f t="shared" si="0"/>
        <v>35</v>
      </c>
      <c r="AK17" s="21">
        <f t="shared" si="0"/>
        <v>36</v>
      </c>
      <c r="AL17" s="21">
        <f t="shared" si="0"/>
        <v>37</v>
      </c>
      <c r="AM17" s="21">
        <f t="shared" si="0"/>
        <v>38</v>
      </c>
      <c r="AN17" s="21">
        <f t="shared" si="0"/>
        <v>39</v>
      </c>
      <c r="AO17" s="21">
        <f t="shared" si="0"/>
        <v>40</v>
      </c>
      <c r="AP17" s="21">
        <f t="shared" si="0"/>
        <v>41</v>
      </c>
      <c r="AQ17" s="21">
        <f t="shared" si="0"/>
        <v>42</v>
      </c>
      <c r="AR17" s="21">
        <f t="shared" si="0"/>
        <v>43</v>
      </c>
      <c r="AS17" s="21">
        <f t="shared" si="0"/>
        <v>44</v>
      </c>
      <c r="AT17" s="21">
        <f t="shared" si="0"/>
        <v>45</v>
      </c>
      <c r="AU17" s="21">
        <f t="shared" si="0"/>
        <v>46</v>
      </c>
      <c r="AV17" s="21">
        <f t="shared" si="0"/>
        <v>47</v>
      </c>
      <c r="AW17" s="21">
        <f t="shared" si="0"/>
        <v>48</v>
      </c>
      <c r="AX17" s="21">
        <f t="shared" si="0"/>
        <v>49</v>
      </c>
      <c r="AY17" s="21">
        <f t="shared" si="0"/>
        <v>50</v>
      </c>
      <c r="AZ17" s="21">
        <f t="shared" si="0"/>
        <v>51</v>
      </c>
      <c r="BA17" s="21">
        <f t="shared" si="0"/>
        <v>52</v>
      </c>
      <c r="BB17" s="21">
        <f t="shared" si="0"/>
        <v>53</v>
      </c>
      <c r="BC17" s="21">
        <f t="shared" si="0"/>
        <v>54</v>
      </c>
      <c r="BD17" s="21">
        <f t="shared" si="0"/>
        <v>55</v>
      </c>
      <c r="BE17" s="21">
        <f t="shared" si="0"/>
        <v>56</v>
      </c>
      <c r="BF17" s="21">
        <f t="shared" si="0"/>
        <v>57</v>
      </c>
      <c r="BG17" s="21">
        <f t="shared" si="0"/>
        <v>58</v>
      </c>
      <c r="BH17" s="21">
        <f t="shared" si="0"/>
        <v>59</v>
      </c>
      <c r="BI17" s="56">
        <f t="shared" si="0"/>
        <v>60</v>
      </c>
    </row>
    <row r="18" spans="1:63">
      <c r="A18" s="68" t="s">
        <v>37</v>
      </c>
      <c r="B18" s="98">
        <v>30</v>
      </c>
      <c r="C18" s="62">
        <f>+ROUND(B18*(1+$B$9)*(1-$B$14),0)</f>
        <v>36</v>
      </c>
      <c r="D18" s="62">
        <f t="shared" ref="D18:BI18" si="1">+ROUND(C18*(1+$B$9)*(1-$B$14),0)</f>
        <v>43</v>
      </c>
      <c r="E18" s="62">
        <f t="shared" si="1"/>
        <v>51</v>
      </c>
      <c r="F18" s="62">
        <f t="shared" si="1"/>
        <v>61</v>
      </c>
      <c r="G18" s="62">
        <f t="shared" si="1"/>
        <v>72</v>
      </c>
      <c r="H18" s="62">
        <f t="shared" si="1"/>
        <v>86</v>
      </c>
      <c r="I18" s="62">
        <f t="shared" si="1"/>
        <v>102</v>
      </c>
      <c r="J18" s="62">
        <f t="shared" si="1"/>
        <v>121</v>
      </c>
      <c r="K18" s="62">
        <f t="shared" si="1"/>
        <v>144</v>
      </c>
      <c r="L18" s="62">
        <f t="shared" si="1"/>
        <v>171</v>
      </c>
      <c r="M18" s="62">
        <f t="shared" si="1"/>
        <v>203</v>
      </c>
      <c r="N18" s="62">
        <f t="shared" si="1"/>
        <v>241</v>
      </c>
      <c r="O18" s="62">
        <f t="shared" si="1"/>
        <v>286</v>
      </c>
      <c r="P18" s="62">
        <f t="shared" si="1"/>
        <v>340</v>
      </c>
      <c r="Q18" s="62">
        <f t="shared" si="1"/>
        <v>404</v>
      </c>
      <c r="R18" s="62">
        <f t="shared" si="1"/>
        <v>480</v>
      </c>
      <c r="S18" s="62">
        <f t="shared" si="1"/>
        <v>570</v>
      </c>
      <c r="T18" s="62">
        <f t="shared" si="1"/>
        <v>677</v>
      </c>
      <c r="U18" s="62">
        <f t="shared" si="1"/>
        <v>804</v>
      </c>
      <c r="V18" s="62">
        <f t="shared" si="1"/>
        <v>955</v>
      </c>
      <c r="W18" s="62">
        <f t="shared" si="1"/>
        <v>1134</v>
      </c>
      <c r="X18" s="62">
        <f t="shared" si="1"/>
        <v>1347</v>
      </c>
      <c r="Y18" s="62">
        <f t="shared" si="1"/>
        <v>1600</v>
      </c>
      <c r="Z18" s="62">
        <f t="shared" si="1"/>
        <v>1900</v>
      </c>
      <c r="AA18" s="62">
        <f t="shared" si="1"/>
        <v>2256</v>
      </c>
      <c r="AB18" s="62">
        <f t="shared" si="1"/>
        <v>2679</v>
      </c>
      <c r="AC18" s="62">
        <f t="shared" si="1"/>
        <v>3181</v>
      </c>
      <c r="AD18" s="62">
        <f t="shared" si="1"/>
        <v>3777</v>
      </c>
      <c r="AE18" s="62">
        <f t="shared" si="1"/>
        <v>4485</v>
      </c>
      <c r="AF18" s="62">
        <f t="shared" si="1"/>
        <v>5326</v>
      </c>
      <c r="AG18" s="62">
        <f t="shared" si="1"/>
        <v>6325</v>
      </c>
      <c r="AH18" s="62">
        <f t="shared" si="1"/>
        <v>7511</v>
      </c>
      <c r="AI18" s="62">
        <f t="shared" si="1"/>
        <v>8919</v>
      </c>
      <c r="AJ18" s="62">
        <f t="shared" si="1"/>
        <v>10591</v>
      </c>
      <c r="AK18" s="62">
        <f t="shared" si="1"/>
        <v>12577</v>
      </c>
      <c r="AL18" s="62">
        <f t="shared" si="1"/>
        <v>14935</v>
      </c>
      <c r="AM18" s="62">
        <f t="shared" si="1"/>
        <v>17735</v>
      </c>
      <c r="AN18" s="62">
        <f t="shared" si="1"/>
        <v>21060</v>
      </c>
      <c r="AO18" s="62">
        <f t="shared" si="1"/>
        <v>25009</v>
      </c>
      <c r="AP18" s="62">
        <f t="shared" si="1"/>
        <v>29698</v>
      </c>
      <c r="AQ18" s="62">
        <f t="shared" si="1"/>
        <v>35266</v>
      </c>
      <c r="AR18" s="62">
        <f t="shared" si="1"/>
        <v>41878</v>
      </c>
      <c r="AS18" s="62">
        <f t="shared" si="1"/>
        <v>49730</v>
      </c>
      <c r="AT18" s="62">
        <f t="shared" si="1"/>
        <v>59054</v>
      </c>
      <c r="AU18" s="62">
        <f t="shared" si="1"/>
        <v>70127</v>
      </c>
      <c r="AV18" s="62">
        <f t="shared" si="1"/>
        <v>83276</v>
      </c>
      <c r="AW18" s="62">
        <f t="shared" si="1"/>
        <v>98890</v>
      </c>
      <c r="AX18" s="62">
        <f t="shared" si="1"/>
        <v>117432</v>
      </c>
      <c r="AY18" s="62">
        <f t="shared" si="1"/>
        <v>139451</v>
      </c>
      <c r="AZ18" s="62">
        <f t="shared" si="1"/>
        <v>165598</v>
      </c>
      <c r="BA18" s="62">
        <f t="shared" si="1"/>
        <v>196648</v>
      </c>
      <c r="BB18" s="62">
        <f t="shared" si="1"/>
        <v>233520</v>
      </c>
      <c r="BC18" s="62">
        <f t="shared" si="1"/>
        <v>277305</v>
      </c>
      <c r="BD18" s="62">
        <f t="shared" si="1"/>
        <v>329300</v>
      </c>
      <c r="BE18" s="62">
        <f t="shared" si="1"/>
        <v>391044</v>
      </c>
      <c r="BF18" s="62">
        <f t="shared" si="1"/>
        <v>464365</v>
      </c>
      <c r="BG18" s="62">
        <f t="shared" si="1"/>
        <v>551433</v>
      </c>
      <c r="BH18" s="62">
        <f t="shared" si="1"/>
        <v>654827</v>
      </c>
      <c r="BI18" s="63">
        <f t="shared" si="1"/>
        <v>777607</v>
      </c>
      <c r="BJ18" s="28"/>
      <c r="BK18" s="28"/>
    </row>
    <row r="19" spans="1:63">
      <c r="A19" s="69" t="s">
        <v>54</v>
      </c>
      <c r="B19" s="99">
        <v>0</v>
      </c>
      <c r="C19" s="51">
        <f>+ROUND(B18*($B$10)*(1-$B$14),0)</f>
        <v>9</v>
      </c>
      <c r="D19" s="51">
        <f t="shared" ref="D19:AI19" si="2">+ROUND(C18*($B$10),0)+ROUND((C19)*$B$10*(1-$B$14),0)</f>
        <v>14</v>
      </c>
      <c r="E19" s="51">
        <f t="shared" si="2"/>
        <v>17</v>
      </c>
      <c r="F19" s="51">
        <f t="shared" si="2"/>
        <v>20</v>
      </c>
      <c r="G19" s="51">
        <f t="shared" si="2"/>
        <v>24</v>
      </c>
      <c r="H19" s="51">
        <f t="shared" si="2"/>
        <v>29</v>
      </c>
      <c r="I19" s="51">
        <f t="shared" si="2"/>
        <v>34</v>
      </c>
      <c r="J19" s="51">
        <f t="shared" si="2"/>
        <v>41</v>
      </c>
      <c r="K19" s="51">
        <f t="shared" si="2"/>
        <v>48</v>
      </c>
      <c r="L19" s="51">
        <f t="shared" si="2"/>
        <v>57</v>
      </c>
      <c r="M19" s="51">
        <f t="shared" si="2"/>
        <v>67</v>
      </c>
      <c r="N19" s="51">
        <f t="shared" si="2"/>
        <v>80</v>
      </c>
      <c r="O19" s="51">
        <f t="shared" si="2"/>
        <v>95</v>
      </c>
      <c r="P19" s="51">
        <f t="shared" si="2"/>
        <v>113</v>
      </c>
      <c r="Q19" s="51">
        <f t="shared" si="2"/>
        <v>134</v>
      </c>
      <c r="R19" s="51">
        <f t="shared" si="2"/>
        <v>159</v>
      </c>
      <c r="S19" s="51">
        <f t="shared" si="2"/>
        <v>189</v>
      </c>
      <c r="T19" s="51">
        <f t="shared" si="2"/>
        <v>225</v>
      </c>
      <c r="U19" s="51">
        <f t="shared" si="2"/>
        <v>267</v>
      </c>
      <c r="V19" s="51">
        <f t="shared" si="2"/>
        <v>317</v>
      </c>
      <c r="W19" s="51">
        <f t="shared" si="2"/>
        <v>377</v>
      </c>
      <c r="X19" s="51">
        <f t="shared" si="2"/>
        <v>447</v>
      </c>
      <c r="Y19" s="51">
        <f t="shared" si="2"/>
        <v>531</v>
      </c>
      <c r="Z19" s="51">
        <f t="shared" si="2"/>
        <v>631</v>
      </c>
      <c r="AA19" s="51">
        <f t="shared" si="2"/>
        <v>750</v>
      </c>
      <c r="AB19" s="51">
        <f t="shared" si="2"/>
        <v>891</v>
      </c>
      <c r="AC19" s="51">
        <f t="shared" si="2"/>
        <v>1058</v>
      </c>
      <c r="AD19" s="51">
        <f t="shared" si="2"/>
        <v>1256</v>
      </c>
      <c r="AE19" s="51">
        <f t="shared" si="2"/>
        <v>1491</v>
      </c>
      <c r="AF19" s="51">
        <f t="shared" si="2"/>
        <v>1771</v>
      </c>
      <c r="AG19" s="51">
        <f t="shared" si="2"/>
        <v>2103</v>
      </c>
      <c r="AH19" s="51">
        <f t="shared" si="2"/>
        <v>2497</v>
      </c>
      <c r="AI19" s="51">
        <f t="shared" si="2"/>
        <v>2965</v>
      </c>
      <c r="AJ19" s="51">
        <f t="shared" ref="AJ19:BI19" si="3">+ROUND(AI18*($B$10),0)+ROUND((AI19)*$B$10*(1-$B$14),0)</f>
        <v>3521</v>
      </c>
      <c r="AK19" s="51">
        <f t="shared" si="3"/>
        <v>4180</v>
      </c>
      <c r="AL19" s="51">
        <f t="shared" si="3"/>
        <v>4964</v>
      </c>
      <c r="AM19" s="51">
        <f t="shared" si="3"/>
        <v>5896</v>
      </c>
      <c r="AN19" s="51">
        <f t="shared" si="3"/>
        <v>7001</v>
      </c>
      <c r="AO19" s="51">
        <f t="shared" si="3"/>
        <v>8313</v>
      </c>
      <c r="AP19" s="51">
        <f t="shared" si="3"/>
        <v>9872</v>
      </c>
      <c r="AQ19" s="51">
        <f t="shared" si="3"/>
        <v>11723</v>
      </c>
      <c r="AR19" s="51">
        <f t="shared" si="3"/>
        <v>13921</v>
      </c>
      <c r="AS19" s="51">
        <f t="shared" si="3"/>
        <v>16530</v>
      </c>
      <c r="AT19" s="51">
        <f t="shared" si="3"/>
        <v>19630</v>
      </c>
      <c r="AU19" s="51">
        <f t="shared" si="3"/>
        <v>23311</v>
      </c>
      <c r="AV19" s="51">
        <f t="shared" si="3"/>
        <v>27682</v>
      </c>
      <c r="AW19" s="51">
        <f t="shared" si="3"/>
        <v>32872</v>
      </c>
      <c r="AX19" s="51">
        <f t="shared" si="3"/>
        <v>39036</v>
      </c>
      <c r="AY19" s="51">
        <f t="shared" si="3"/>
        <v>46355</v>
      </c>
      <c r="AZ19" s="51">
        <f t="shared" si="3"/>
        <v>55046</v>
      </c>
      <c r="BA19" s="51">
        <f t="shared" si="3"/>
        <v>65367</v>
      </c>
      <c r="BB19" s="51">
        <f t="shared" si="3"/>
        <v>77624</v>
      </c>
      <c r="BC19" s="51">
        <f t="shared" si="3"/>
        <v>92179</v>
      </c>
      <c r="BD19" s="51">
        <f t="shared" si="3"/>
        <v>109463</v>
      </c>
      <c r="BE19" s="51">
        <f t="shared" si="3"/>
        <v>129987</v>
      </c>
      <c r="BF19" s="51">
        <f t="shared" si="3"/>
        <v>154359</v>
      </c>
      <c r="BG19" s="51">
        <f t="shared" si="3"/>
        <v>183302</v>
      </c>
      <c r="BH19" s="51">
        <f t="shared" si="3"/>
        <v>217671</v>
      </c>
      <c r="BI19" s="57">
        <f t="shared" si="3"/>
        <v>258484</v>
      </c>
      <c r="BJ19" s="28"/>
      <c r="BK19" s="28"/>
    </row>
    <row r="20" spans="1:63">
      <c r="A20" s="67" t="s">
        <v>30</v>
      </c>
      <c r="B20" s="100">
        <v>5</v>
      </c>
      <c r="C20" s="51">
        <f t="shared" ref="C20:M20" si="4">+ROUND(B20*(1+$B$11)*(1-$B$14),0)</f>
        <v>6</v>
      </c>
      <c r="D20" s="51">
        <f t="shared" si="4"/>
        <v>7</v>
      </c>
      <c r="E20" s="51">
        <f t="shared" si="4"/>
        <v>8</v>
      </c>
      <c r="F20" s="51">
        <f t="shared" si="4"/>
        <v>10</v>
      </c>
      <c r="G20" s="51">
        <f t="shared" si="4"/>
        <v>12</v>
      </c>
      <c r="H20" s="51">
        <f t="shared" si="4"/>
        <v>14</v>
      </c>
      <c r="I20" s="51">
        <f t="shared" si="4"/>
        <v>17</v>
      </c>
      <c r="J20" s="51">
        <f t="shared" si="4"/>
        <v>20</v>
      </c>
      <c r="K20" s="51">
        <f t="shared" si="4"/>
        <v>24</v>
      </c>
      <c r="L20" s="51">
        <f t="shared" si="4"/>
        <v>29</v>
      </c>
      <c r="M20" s="51">
        <f t="shared" si="4"/>
        <v>34</v>
      </c>
      <c r="N20" s="51">
        <f>+ROUND(M20*(1+$C$11)*(1-$B$14),0)</f>
        <v>39</v>
      </c>
      <c r="O20" s="51">
        <f t="shared" ref="O20:Y20" si="5">+ROUND(N20*(1+$C$11)*(1-$B$14),0)</f>
        <v>44</v>
      </c>
      <c r="P20" s="51">
        <f t="shared" si="5"/>
        <v>50</v>
      </c>
      <c r="Q20" s="51">
        <f t="shared" si="5"/>
        <v>57</v>
      </c>
      <c r="R20" s="51">
        <f t="shared" si="5"/>
        <v>65</v>
      </c>
      <c r="S20" s="51">
        <f t="shared" si="5"/>
        <v>74</v>
      </c>
      <c r="T20" s="51">
        <f t="shared" si="5"/>
        <v>84</v>
      </c>
      <c r="U20" s="51">
        <f t="shared" si="5"/>
        <v>96</v>
      </c>
      <c r="V20" s="51">
        <f t="shared" si="5"/>
        <v>109</v>
      </c>
      <c r="W20" s="51">
        <f t="shared" si="5"/>
        <v>124</v>
      </c>
      <c r="X20" s="51">
        <f t="shared" si="5"/>
        <v>141</v>
      </c>
      <c r="Y20" s="51">
        <f t="shared" si="5"/>
        <v>161</v>
      </c>
      <c r="Z20" s="51">
        <f>+ROUND(Y20*(1+$D$11)*(1-$B$14),0)</f>
        <v>168</v>
      </c>
      <c r="AA20" s="51">
        <f t="shared" ref="AA20:AK20" si="6">+ROUND(Z20*(1+$D$11)*(1-$B$14),0)</f>
        <v>176</v>
      </c>
      <c r="AB20" s="51">
        <f t="shared" si="6"/>
        <v>184</v>
      </c>
      <c r="AC20" s="51">
        <f t="shared" si="6"/>
        <v>192</v>
      </c>
      <c r="AD20" s="51">
        <f t="shared" si="6"/>
        <v>201</v>
      </c>
      <c r="AE20" s="51">
        <f t="shared" si="6"/>
        <v>210</v>
      </c>
      <c r="AF20" s="51">
        <f t="shared" si="6"/>
        <v>219</v>
      </c>
      <c r="AG20" s="51">
        <f t="shared" si="6"/>
        <v>229</v>
      </c>
      <c r="AH20" s="51">
        <f t="shared" si="6"/>
        <v>239</v>
      </c>
      <c r="AI20" s="51">
        <f t="shared" si="6"/>
        <v>250</v>
      </c>
      <c r="AJ20" s="51">
        <f t="shared" si="6"/>
        <v>261</v>
      </c>
      <c r="AK20" s="51">
        <f t="shared" si="6"/>
        <v>273</v>
      </c>
      <c r="AL20" s="51">
        <f>+ROUND(AK20*(1+$E$11)*(1-$B$14),0)</f>
        <v>267</v>
      </c>
      <c r="AM20" s="51">
        <f t="shared" ref="AM20:AW20" si="7">+ROUND(AL20*(1+$E$11)*(1-$B$14),0)</f>
        <v>261</v>
      </c>
      <c r="AN20" s="51">
        <f t="shared" si="7"/>
        <v>255</v>
      </c>
      <c r="AO20" s="51">
        <f t="shared" si="7"/>
        <v>250</v>
      </c>
      <c r="AP20" s="51">
        <f t="shared" si="7"/>
        <v>245</v>
      </c>
      <c r="AQ20" s="51">
        <f t="shared" si="7"/>
        <v>240</v>
      </c>
      <c r="AR20" s="51">
        <f t="shared" si="7"/>
        <v>235</v>
      </c>
      <c r="AS20" s="51">
        <f t="shared" si="7"/>
        <v>230</v>
      </c>
      <c r="AT20" s="51">
        <f t="shared" si="7"/>
        <v>225</v>
      </c>
      <c r="AU20" s="51">
        <f t="shared" si="7"/>
        <v>220</v>
      </c>
      <c r="AV20" s="51">
        <f t="shared" si="7"/>
        <v>215</v>
      </c>
      <c r="AW20" s="51">
        <f t="shared" si="7"/>
        <v>210</v>
      </c>
      <c r="AX20" s="51">
        <f>+ROUND(AW20*(1+$F$11)*(1-$B$14),0)</f>
        <v>201</v>
      </c>
      <c r="AY20" s="51">
        <f t="shared" ref="AY20:BI20" si="8">+ROUND(AX20*(1+$F$11)*(1-$B$14),0)</f>
        <v>193</v>
      </c>
      <c r="AZ20" s="51">
        <f t="shared" si="8"/>
        <v>185</v>
      </c>
      <c r="BA20" s="51">
        <f t="shared" si="8"/>
        <v>177</v>
      </c>
      <c r="BB20" s="51">
        <f t="shared" si="8"/>
        <v>170</v>
      </c>
      <c r="BC20" s="51">
        <f t="shared" si="8"/>
        <v>163</v>
      </c>
      <c r="BD20" s="51">
        <f t="shared" si="8"/>
        <v>156</v>
      </c>
      <c r="BE20" s="51">
        <f t="shared" si="8"/>
        <v>150</v>
      </c>
      <c r="BF20" s="51">
        <f t="shared" si="8"/>
        <v>144</v>
      </c>
      <c r="BG20" s="51">
        <f t="shared" si="8"/>
        <v>138</v>
      </c>
      <c r="BH20" s="51">
        <f t="shared" si="8"/>
        <v>132</v>
      </c>
      <c r="BI20" s="57">
        <f t="shared" si="8"/>
        <v>127</v>
      </c>
      <c r="BJ20" s="28"/>
      <c r="BK20" s="28"/>
    </row>
    <row r="21" spans="1:63">
      <c r="A21" s="67" t="s">
        <v>31</v>
      </c>
      <c r="B21" s="100">
        <v>7</v>
      </c>
      <c r="C21" s="51">
        <f>+ROUND(B21*(1+$B$12)*(1-$B$14),0)</f>
        <v>8</v>
      </c>
      <c r="D21" s="51">
        <f t="shared" ref="D21:M21" si="9">+ROUND(C21*(1+$B$12)*(1-$B$14),0)</f>
        <v>10</v>
      </c>
      <c r="E21" s="51">
        <f t="shared" si="9"/>
        <v>12</v>
      </c>
      <c r="F21" s="51">
        <f t="shared" si="9"/>
        <v>14</v>
      </c>
      <c r="G21" s="51">
        <f t="shared" si="9"/>
        <v>17</v>
      </c>
      <c r="H21" s="51">
        <f t="shared" si="9"/>
        <v>20</v>
      </c>
      <c r="I21" s="51">
        <f t="shared" si="9"/>
        <v>24</v>
      </c>
      <c r="J21" s="51">
        <f t="shared" si="9"/>
        <v>29</v>
      </c>
      <c r="K21" s="51">
        <f t="shared" si="9"/>
        <v>34</v>
      </c>
      <c r="L21" s="51">
        <f t="shared" si="9"/>
        <v>40</v>
      </c>
      <c r="M21" s="51">
        <f t="shared" si="9"/>
        <v>48</v>
      </c>
      <c r="N21" s="51">
        <f>+ROUND(M21*(1+$C$12)*(1-$B$14),0)</f>
        <v>55</v>
      </c>
      <c r="O21" s="51">
        <f t="shared" ref="O21:Y21" si="10">+ROUND(N21*(1+$C$12)*(1-$B$14),0)</f>
        <v>63</v>
      </c>
      <c r="P21" s="51">
        <f t="shared" si="10"/>
        <v>72</v>
      </c>
      <c r="Q21" s="51">
        <f t="shared" si="10"/>
        <v>82</v>
      </c>
      <c r="R21" s="51">
        <f t="shared" si="10"/>
        <v>93</v>
      </c>
      <c r="S21" s="51">
        <f t="shared" si="10"/>
        <v>106</v>
      </c>
      <c r="T21" s="51">
        <f t="shared" si="10"/>
        <v>121</v>
      </c>
      <c r="U21" s="51">
        <f t="shared" si="10"/>
        <v>138</v>
      </c>
      <c r="V21" s="51">
        <f t="shared" si="10"/>
        <v>157</v>
      </c>
      <c r="W21" s="51">
        <f t="shared" si="10"/>
        <v>179</v>
      </c>
      <c r="X21" s="51">
        <f t="shared" si="10"/>
        <v>204</v>
      </c>
      <c r="Y21" s="51">
        <f t="shared" si="10"/>
        <v>233</v>
      </c>
      <c r="Z21" s="51">
        <f>+ROUND(Y21*(1+$D$12)*(1-$B$14),0)</f>
        <v>243</v>
      </c>
      <c r="AA21" s="51">
        <f t="shared" ref="AA21:AK21" si="11">+ROUND(Z21*(1+$D$12)*(1-$B$14),0)</f>
        <v>254</v>
      </c>
      <c r="AB21" s="51">
        <f t="shared" si="11"/>
        <v>265</v>
      </c>
      <c r="AC21" s="51">
        <f t="shared" si="11"/>
        <v>277</v>
      </c>
      <c r="AD21" s="51">
        <f t="shared" si="11"/>
        <v>289</v>
      </c>
      <c r="AE21" s="51">
        <f t="shared" si="11"/>
        <v>302</v>
      </c>
      <c r="AF21" s="51">
        <f t="shared" si="11"/>
        <v>316</v>
      </c>
      <c r="AG21" s="51">
        <f t="shared" si="11"/>
        <v>330</v>
      </c>
      <c r="AH21" s="51">
        <f t="shared" si="11"/>
        <v>345</v>
      </c>
      <c r="AI21" s="51">
        <f t="shared" si="11"/>
        <v>361</v>
      </c>
      <c r="AJ21" s="51">
        <f t="shared" si="11"/>
        <v>377</v>
      </c>
      <c r="AK21" s="51">
        <f t="shared" si="11"/>
        <v>394</v>
      </c>
      <c r="AL21" s="51">
        <f>+ROUND(AK21*(1+$E$12)*(1-$B$14),0)</f>
        <v>386</v>
      </c>
      <c r="AM21" s="51">
        <f t="shared" ref="AM21:AW21" si="12">+ROUND(AL21*(1+$E$12)*(1-$B$14),0)</f>
        <v>378</v>
      </c>
      <c r="AN21" s="51">
        <f t="shared" si="12"/>
        <v>370</v>
      </c>
      <c r="AO21" s="51">
        <f t="shared" si="12"/>
        <v>362</v>
      </c>
      <c r="AP21" s="51">
        <f t="shared" si="12"/>
        <v>354</v>
      </c>
      <c r="AQ21" s="51">
        <f t="shared" si="12"/>
        <v>346</v>
      </c>
      <c r="AR21" s="51">
        <f t="shared" si="12"/>
        <v>339</v>
      </c>
      <c r="AS21" s="51">
        <f t="shared" si="12"/>
        <v>332</v>
      </c>
      <c r="AT21" s="51">
        <f t="shared" si="12"/>
        <v>325</v>
      </c>
      <c r="AU21" s="51">
        <f t="shared" si="12"/>
        <v>318</v>
      </c>
      <c r="AV21" s="51">
        <f t="shared" si="12"/>
        <v>311</v>
      </c>
      <c r="AW21" s="51">
        <f t="shared" si="12"/>
        <v>304</v>
      </c>
      <c r="AX21" s="51">
        <f>+ROUND(AW21*(1+$F$12)*(1-$B$14),0)</f>
        <v>291</v>
      </c>
      <c r="AY21" s="51">
        <f t="shared" ref="AY21:BI21" si="13">+ROUND(AX21*(1+$F$12)*(1-$B$14),0)</f>
        <v>279</v>
      </c>
      <c r="AZ21" s="51">
        <f t="shared" si="13"/>
        <v>267</v>
      </c>
      <c r="BA21" s="51">
        <f t="shared" si="13"/>
        <v>256</v>
      </c>
      <c r="BB21" s="51">
        <f t="shared" si="13"/>
        <v>245</v>
      </c>
      <c r="BC21" s="51">
        <f t="shared" si="13"/>
        <v>235</v>
      </c>
      <c r="BD21" s="51">
        <f t="shared" si="13"/>
        <v>225</v>
      </c>
      <c r="BE21" s="51">
        <f t="shared" si="13"/>
        <v>216</v>
      </c>
      <c r="BF21" s="51">
        <f t="shared" si="13"/>
        <v>207</v>
      </c>
      <c r="BG21" s="51">
        <f t="shared" si="13"/>
        <v>198</v>
      </c>
      <c r="BH21" s="51">
        <f t="shared" si="13"/>
        <v>190</v>
      </c>
      <c r="BI21" s="57">
        <f t="shared" si="13"/>
        <v>182</v>
      </c>
      <c r="BJ21" s="28"/>
      <c r="BK21" s="28"/>
    </row>
    <row r="22" spans="1:63" ht="15.75" thickBot="1">
      <c r="A22" s="70" t="s">
        <v>159</v>
      </c>
      <c r="B22" s="101">
        <f>+ROUND((B20+B21)*$B$13,0)</f>
        <v>24</v>
      </c>
      <c r="C22" s="64">
        <f t="shared" ref="C22:M22" si="14">+ROUND((C20+C21)*$B$13,0)</f>
        <v>28</v>
      </c>
      <c r="D22" s="64">
        <f t="shared" si="14"/>
        <v>34</v>
      </c>
      <c r="E22" s="64">
        <f t="shared" si="14"/>
        <v>40</v>
      </c>
      <c r="F22" s="64">
        <f t="shared" si="14"/>
        <v>48</v>
      </c>
      <c r="G22" s="64">
        <f t="shared" si="14"/>
        <v>58</v>
      </c>
      <c r="H22" s="64">
        <f t="shared" si="14"/>
        <v>68</v>
      </c>
      <c r="I22" s="64">
        <f t="shared" si="14"/>
        <v>82</v>
      </c>
      <c r="J22" s="64">
        <f t="shared" si="14"/>
        <v>98</v>
      </c>
      <c r="K22" s="64">
        <f t="shared" si="14"/>
        <v>116</v>
      </c>
      <c r="L22" s="64">
        <f t="shared" si="14"/>
        <v>138</v>
      </c>
      <c r="M22" s="64">
        <f t="shared" si="14"/>
        <v>164</v>
      </c>
      <c r="N22" s="64">
        <f>+ROUND((N20+N21)*$C$13,0)</f>
        <v>376</v>
      </c>
      <c r="O22" s="64">
        <f t="shared" ref="O22:Y22" si="15">+ROUND((O20+O21)*$C$13,0)</f>
        <v>428</v>
      </c>
      <c r="P22" s="64">
        <f t="shared" si="15"/>
        <v>488</v>
      </c>
      <c r="Q22" s="64">
        <f t="shared" si="15"/>
        <v>556</v>
      </c>
      <c r="R22" s="64">
        <f t="shared" si="15"/>
        <v>632</v>
      </c>
      <c r="S22" s="64">
        <f t="shared" si="15"/>
        <v>720</v>
      </c>
      <c r="T22" s="64">
        <f t="shared" si="15"/>
        <v>820</v>
      </c>
      <c r="U22" s="64">
        <f t="shared" si="15"/>
        <v>936</v>
      </c>
      <c r="V22" s="64">
        <f t="shared" si="15"/>
        <v>1064</v>
      </c>
      <c r="W22" s="64">
        <f t="shared" si="15"/>
        <v>1212</v>
      </c>
      <c r="X22" s="64">
        <f t="shared" si="15"/>
        <v>1380</v>
      </c>
      <c r="Y22" s="64">
        <f t="shared" si="15"/>
        <v>1576</v>
      </c>
      <c r="Z22" s="64">
        <f>+ROUND((Z20+Z21)*$D$13,0)</f>
        <v>3288</v>
      </c>
      <c r="AA22" s="64">
        <f t="shared" ref="AA22:AW22" si="16">+ROUND((AA20+AA21)*$D$13,0)</f>
        <v>3440</v>
      </c>
      <c r="AB22" s="64">
        <f t="shared" si="16"/>
        <v>3592</v>
      </c>
      <c r="AC22" s="64">
        <f t="shared" si="16"/>
        <v>3752</v>
      </c>
      <c r="AD22" s="64">
        <f t="shared" si="16"/>
        <v>3920</v>
      </c>
      <c r="AE22" s="64">
        <f t="shared" si="16"/>
        <v>4096</v>
      </c>
      <c r="AF22" s="64">
        <f t="shared" si="16"/>
        <v>4280</v>
      </c>
      <c r="AG22" s="64">
        <f t="shared" si="16"/>
        <v>4472</v>
      </c>
      <c r="AH22" s="64">
        <f t="shared" si="16"/>
        <v>4672</v>
      </c>
      <c r="AI22" s="64">
        <f t="shared" si="16"/>
        <v>4888</v>
      </c>
      <c r="AJ22" s="64">
        <f t="shared" si="16"/>
        <v>5104</v>
      </c>
      <c r="AK22" s="64">
        <f t="shared" si="16"/>
        <v>5336</v>
      </c>
      <c r="AL22" s="64">
        <f t="shared" si="16"/>
        <v>5224</v>
      </c>
      <c r="AM22" s="64">
        <f t="shared" si="16"/>
        <v>5112</v>
      </c>
      <c r="AN22" s="64">
        <f t="shared" si="16"/>
        <v>5000</v>
      </c>
      <c r="AO22" s="64">
        <f t="shared" si="16"/>
        <v>4896</v>
      </c>
      <c r="AP22" s="64">
        <f t="shared" si="16"/>
        <v>4792</v>
      </c>
      <c r="AQ22" s="64">
        <f t="shared" si="16"/>
        <v>4688</v>
      </c>
      <c r="AR22" s="64">
        <f t="shared" si="16"/>
        <v>4592</v>
      </c>
      <c r="AS22" s="64">
        <f t="shared" si="16"/>
        <v>4496</v>
      </c>
      <c r="AT22" s="64">
        <f t="shared" si="16"/>
        <v>4400</v>
      </c>
      <c r="AU22" s="64">
        <f t="shared" si="16"/>
        <v>4304</v>
      </c>
      <c r="AV22" s="64">
        <f t="shared" si="16"/>
        <v>4208</v>
      </c>
      <c r="AW22" s="64">
        <f t="shared" si="16"/>
        <v>4112</v>
      </c>
      <c r="AX22" s="64">
        <f>+ROUND((AX20+AX21)*$F$13,0)</f>
        <v>15744</v>
      </c>
      <c r="AY22" s="64">
        <f t="shared" ref="AY22:BI22" si="17">+ROUND((AY20+AY21)*$F$13,0)</f>
        <v>15104</v>
      </c>
      <c r="AZ22" s="64">
        <f t="shared" si="17"/>
        <v>14464</v>
      </c>
      <c r="BA22" s="64">
        <f t="shared" si="17"/>
        <v>13856</v>
      </c>
      <c r="BB22" s="64">
        <f t="shared" si="17"/>
        <v>13280</v>
      </c>
      <c r="BC22" s="64">
        <f t="shared" si="17"/>
        <v>12736</v>
      </c>
      <c r="BD22" s="64">
        <f t="shared" si="17"/>
        <v>12192</v>
      </c>
      <c r="BE22" s="64">
        <f t="shared" si="17"/>
        <v>11712</v>
      </c>
      <c r="BF22" s="64">
        <f t="shared" si="17"/>
        <v>11232</v>
      </c>
      <c r="BG22" s="64">
        <f t="shared" si="17"/>
        <v>10752</v>
      </c>
      <c r="BH22" s="64">
        <f t="shared" si="17"/>
        <v>10304</v>
      </c>
      <c r="BI22" s="65">
        <f t="shared" si="17"/>
        <v>9888</v>
      </c>
      <c r="BJ22" s="28"/>
      <c r="BK22" s="28"/>
    </row>
    <row r="23" spans="1:63">
      <c r="A23" s="68" t="s">
        <v>126</v>
      </c>
      <c r="B23" s="62">
        <f>+B18</f>
        <v>30</v>
      </c>
      <c r="C23" s="62">
        <f t="shared" ref="C23:AH23" si="18">+B23+C18-C19</f>
        <v>57</v>
      </c>
      <c r="D23" s="62">
        <f t="shared" si="18"/>
        <v>86</v>
      </c>
      <c r="E23" s="62">
        <f t="shared" si="18"/>
        <v>120</v>
      </c>
      <c r="F23" s="62">
        <f t="shared" si="18"/>
        <v>161</v>
      </c>
      <c r="G23" s="62">
        <f t="shared" si="18"/>
        <v>209</v>
      </c>
      <c r="H23" s="62">
        <f t="shared" si="18"/>
        <v>266</v>
      </c>
      <c r="I23" s="62">
        <f t="shared" si="18"/>
        <v>334</v>
      </c>
      <c r="J23" s="62">
        <f t="shared" si="18"/>
        <v>414</v>
      </c>
      <c r="K23" s="62">
        <f t="shared" si="18"/>
        <v>510</v>
      </c>
      <c r="L23" s="62">
        <f t="shared" si="18"/>
        <v>624</v>
      </c>
      <c r="M23" s="62">
        <f t="shared" si="18"/>
        <v>760</v>
      </c>
      <c r="N23" s="62">
        <f t="shared" si="18"/>
        <v>921</v>
      </c>
      <c r="O23" s="62">
        <f t="shared" si="18"/>
        <v>1112</v>
      </c>
      <c r="P23" s="62">
        <f t="shared" si="18"/>
        <v>1339</v>
      </c>
      <c r="Q23" s="62">
        <f t="shared" si="18"/>
        <v>1609</v>
      </c>
      <c r="R23" s="62">
        <f t="shared" si="18"/>
        <v>1930</v>
      </c>
      <c r="S23" s="62">
        <f t="shared" si="18"/>
        <v>2311</v>
      </c>
      <c r="T23" s="62">
        <f t="shared" si="18"/>
        <v>2763</v>
      </c>
      <c r="U23" s="62">
        <f t="shared" si="18"/>
        <v>3300</v>
      </c>
      <c r="V23" s="62">
        <f t="shared" si="18"/>
        <v>3938</v>
      </c>
      <c r="W23" s="62">
        <f t="shared" si="18"/>
        <v>4695</v>
      </c>
      <c r="X23" s="62">
        <f t="shared" si="18"/>
        <v>5595</v>
      </c>
      <c r="Y23" s="62">
        <f t="shared" si="18"/>
        <v>6664</v>
      </c>
      <c r="Z23" s="62">
        <f t="shared" si="18"/>
        <v>7933</v>
      </c>
      <c r="AA23" s="62">
        <f t="shared" si="18"/>
        <v>9439</v>
      </c>
      <c r="AB23" s="62">
        <f t="shared" si="18"/>
        <v>11227</v>
      </c>
      <c r="AC23" s="62">
        <f t="shared" si="18"/>
        <v>13350</v>
      </c>
      <c r="AD23" s="62">
        <f t="shared" si="18"/>
        <v>15871</v>
      </c>
      <c r="AE23" s="62">
        <f t="shared" si="18"/>
        <v>18865</v>
      </c>
      <c r="AF23" s="62">
        <f t="shared" si="18"/>
        <v>22420</v>
      </c>
      <c r="AG23" s="62">
        <f t="shared" si="18"/>
        <v>26642</v>
      </c>
      <c r="AH23" s="62">
        <f t="shared" si="18"/>
        <v>31656</v>
      </c>
      <c r="AI23" s="62">
        <f t="shared" ref="AI23:BI23" si="19">+AH23+AI18-AI19</f>
        <v>37610</v>
      </c>
      <c r="AJ23" s="62">
        <f t="shared" si="19"/>
        <v>44680</v>
      </c>
      <c r="AK23" s="62">
        <f t="shared" si="19"/>
        <v>53077</v>
      </c>
      <c r="AL23" s="62">
        <f t="shared" si="19"/>
        <v>63048</v>
      </c>
      <c r="AM23" s="62">
        <f t="shared" si="19"/>
        <v>74887</v>
      </c>
      <c r="AN23" s="62">
        <f t="shared" si="19"/>
        <v>88946</v>
      </c>
      <c r="AO23" s="62">
        <f t="shared" si="19"/>
        <v>105642</v>
      </c>
      <c r="AP23" s="62">
        <f t="shared" si="19"/>
        <v>125468</v>
      </c>
      <c r="AQ23" s="62">
        <f t="shared" si="19"/>
        <v>149011</v>
      </c>
      <c r="AR23" s="62">
        <f t="shared" si="19"/>
        <v>176968</v>
      </c>
      <c r="AS23" s="62">
        <f t="shared" si="19"/>
        <v>210168</v>
      </c>
      <c r="AT23" s="62">
        <f t="shared" si="19"/>
        <v>249592</v>
      </c>
      <c r="AU23" s="62">
        <f t="shared" si="19"/>
        <v>296408</v>
      </c>
      <c r="AV23" s="62">
        <f t="shared" si="19"/>
        <v>352002</v>
      </c>
      <c r="AW23" s="62">
        <f t="shared" si="19"/>
        <v>418020</v>
      </c>
      <c r="AX23" s="62">
        <f t="shared" si="19"/>
        <v>496416</v>
      </c>
      <c r="AY23" s="62">
        <f t="shared" si="19"/>
        <v>589512</v>
      </c>
      <c r="AZ23" s="62">
        <f t="shared" si="19"/>
        <v>700064</v>
      </c>
      <c r="BA23" s="62">
        <f t="shared" si="19"/>
        <v>831345</v>
      </c>
      <c r="BB23" s="62">
        <f t="shared" si="19"/>
        <v>987241</v>
      </c>
      <c r="BC23" s="62">
        <f t="shared" si="19"/>
        <v>1172367</v>
      </c>
      <c r="BD23" s="62">
        <f t="shared" si="19"/>
        <v>1392204</v>
      </c>
      <c r="BE23" s="62">
        <f t="shared" si="19"/>
        <v>1653261</v>
      </c>
      <c r="BF23" s="62">
        <f t="shared" si="19"/>
        <v>1963267</v>
      </c>
      <c r="BG23" s="62">
        <f t="shared" si="19"/>
        <v>2331398</v>
      </c>
      <c r="BH23" s="62">
        <f t="shared" si="19"/>
        <v>2768554</v>
      </c>
      <c r="BI23" s="63">
        <f t="shared" si="19"/>
        <v>3287677</v>
      </c>
    </row>
    <row r="24" spans="1:63">
      <c r="A24" s="69" t="s">
        <v>127</v>
      </c>
      <c r="B24" s="51">
        <f>+B19</f>
        <v>0</v>
      </c>
      <c r="C24" s="51">
        <f t="shared" ref="C24:AH24" si="20">+B24+C19</f>
        <v>9</v>
      </c>
      <c r="D24" s="51">
        <f t="shared" si="20"/>
        <v>23</v>
      </c>
      <c r="E24" s="51">
        <f t="shared" si="20"/>
        <v>40</v>
      </c>
      <c r="F24" s="51">
        <f t="shared" si="20"/>
        <v>60</v>
      </c>
      <c r="G24" s="51">
        <f t="shared" si="20"/>
        <v>84</v>
      </c>
      <c r="H24" s="51">
        <f t="shared" si="20"/>
        <v>113</v>
      </c>
      <c r="I24" s="51">
        <f t="shared" si="20"/>
        <v>147</v>
      </c>
      <c r="J24" s="51">
        <f t="shared" si="20"/>
        <v>188</v>
      </c>
      <c r="K24" s="51">
        <f t="shared" si="20"/>
        <v>236</v>
      </c>
      <c r="L24" s="51">
        <f t="shared" si="20"/>
        <v>293</v>
      </c>
      <c r="M24" s="51">
        <f t="shared" si="20"/>
        <v>360</v>
      </c>
      <c r="N24" s="51">
        <f t="shared" si="20"/>
        <v>440</v>
      </c>
      <c r="O24" s="51">
        <f t="shared" si="20"/>
        <v>535</v>
      </c>
      <c r="P24" s="51">
        <f t="shared" si="20"/>
        <v>648</v>
      </c>
      <c r="Q24" s="51">
        <f t="shared" si="20"/>
        <v>782</v>
      </c>
      <c r="R24" s="51">
        <f t="shared" si="20"/>
        <v>941</v>
      </c>
      <c r="S24" s="51">
        <f t="shared" si="20"/>
        <v>1130</v>
      </c>
      <c r="T24" s="51">
        <f t="shared" si="20"/>
        <v>1355</v>
      </c>
      <c r="U24" s="51">
        <f t="shared" si="20"/>
        <v>1622</v>
      </c>
      <c r="V24" s="51">
        <f t="shared" si="20"/>
        <v>1939</v>
      </c>
      <c r="W24" s="51">
        <f t="shared" si="20"/>
        <v>2316</v>
      </c>
      <c r="X24" s="51">
        <f t="shared" si="20"/>
        <v>2763</v>
      </c>
      <c r="Y24" s="51">
        <f t="shared" si="20"/>
        <v>3294</v>
      </c>
      <c r="Z24" s="51">
        <f t="shared" si="20"/>
        <v>3925</v>
      </c>
      <c r="AA24" s="51">
        <f t="shared" si="20"/>
        <v>4675</v>
      </c>
      <c r="AB24" s="51">
        <f t="shared" si="20"/>
        <v>5566</v>
      </c>
      <c r="AC24" s="51">
        <f t="shared" si="20"/>
        <v>6624</v>
      </c>
      <c r="AD24" s="51">
        <f t="shared" si="20"/>
        <v>7880</v>
      </c>
      <c r="AE24" s="51">
        <f t="shared" si="20"/>
        <v>9371</v>
      </c>
      <c r="AF24" s="51">
        <f t="shared" si="20"/>
        <v>11142</v>
      </c>
      <c r="AG24" s="51">
        <f t="shared" si="20"/>
        <v>13245</v>
      </c>
      <c r="AH24" s="51">
        <f t="shared" si="20"/>
        <v>15742</v>
      </c>
      <c r="AI24" s="51">
        <f t="shared" ref="AI24:BI24" si="21">+AH24+AI19</f>
        <v>18707</v>
      </c>
      <c r="AJ24" s="51">
        <f t="shared" si="21"/>
        <v>22228</v>
      </c>
      <c r="AK24" s="51">
        <f t="shared" si="21"/>
        <v>26408</v>
      </c>
      <c r="AL24" s="51">
        <f t="shared" si="21"/>
        <v>31372</v>
      </c>
      <c r="AM24" s="51">
        <f t="shared" si="21"/>
        <v>37268</v>
      </c>
      <c r="AN24" s="51">
        <f t="shared" si="21"/>
        <v>44269</v>
      </c>
      <c r="AO24" s="51">
        <f t="shared" si="21"/>
        <v>52582</v>
      </c>
      <c r="AP24" s="51">
        <f t="shared" si="21"/>
        <v>62454</v>
      </c>
      <c r="AQ24" s="51">
        <f t="shared" si="21"/>
        <v>74177</v>
      </c>
      <c r="AR24" s="51">
        <f t="shared" si="21"/>
        <v>88098</v>
      </c>
      <c r="AS24" s="51">
        <f t="shared" si="21"/>
        <v>104628</v>
      </c>
      <c r="AT24" s="51">
        <f t="shared" si="21"/>
        <v>124258</v>
      </c>
      <c r="AU24" s="51">
        <f t="shared" si="21"/>
        <v>147569</v>
      </c>
      <c r="AV24" s="51">
        <f t="shared" si="21"/>
        <v>175251</v>
      </c>
      <c r="AW24" s="51">
        <f t="shared" si="21"/>
        <v>208123</v>
      </c>
      <c r="AX24" s="51">
        <f t="shared" si="21"/>
        <v>247159</v>
      </c>
      <c r="AY24" s="51">
        <f t="shared" si="21"/>
        <v>293514</v>
      </c>
      <c r="AZ24" s="51">
        <f t="shared" si="21"/>
        <v>348560</v>
      </c>
      <c r="BA24" s="51">
        <f t="shared" si="21"/>
        <v>413927</v>
      </c>
      <c r="BB24" s="51">
        <f t="shared" si="21"/>
        <v>491551</v>
      </c>
      <c r="BC24" s="51">
        <f t="shared" si="21"/>
        <v>583730</v>
      </c>
      <c r="BD24" s="51">
        <f t="shared" si="21"/>
        <v>693193</v>
      </c>
      <c r="BE24" s="51">
        <f t="shared" si="21"/>
        <v>823180</v>
      </c>
      <c r="BF24" s="51">
        <f t="shared" si="21"/>
        <v>977539</v>
      </c>
      <c r="BG24" s="51">
        <f t="shared" si="21"/>
        <v>1160841</v>
      </c>
      <c r="BH24" s="51">
        <f t="shared" si="21"/>
        <v>1378512</v>
      </c>
      <c r="BI24" s="57">
        <f t="shared" si="21"/>
        <v>1636996</v>
      </c>
      <c r="BK24" s="31"/>
    </row>
    <row r="25" spans="1:63">
      <c r="A25" s="67" t="s">
        <v>128</v>
      </c>
      <c r="B25" s="51">
        <f>+B20</f>
        <v>5</v>
      </c>
      <c r="C25" s="51">
        <f t="shared" ref="C25:AH25" si="22">+B25+C20</f>
        <v>11</v>
      </c>
      <c r="D25" s="51">
        <f t="shared" si="22"/>
        <v>18</v>
      </c>
      <c r="E25" s="51">
        <f t="shared" si="22"/>
        <v>26</v>
      </c>
      <c r="F25" s="51">
        <f t="shared" si="22"/>
        <v>36</v>
      </c>
      <c r="G25" s="51">
        <f t="shared" si="22"/>
        <v>48</v>
      </c>
      <c r="H25" s="51">
        <f t="shared" si="22"/>
        <v>62</v>
      </c>
      <c r="I25" s="51">
        <f t="shared" si="22"/>
        <v>79</v>
      </c>
      <c r="J25" s="51">
        <f t="shared" si="22"/>
        <v>99</v>
      </c>
      <c r="K25" s="51">
        <f t="shared" si="22"/>
        <v>123</v>
      </c>
      <c r="L25" s="51">
        <f t="shared" si="22"/>
        <v>152</v>
      </c>
      <c r="M25" s="51">
        <f t="shared" si="22"/>
        <v>186</v>
      </c>
      <c r="N25" s="51">
        <f t="shared" si="22"/>
        <v>225</v>
      </c>
      <c r="O25" s="51">
        <f t="shared" si="22"/>
        <v>269</v>
      </c>
      <c r="P25" s="51">
        <f t="shared" si="22"/>
        <v>319</v>
      </c>
      <c r="Q25" s="51">
        <f t="shared" si="22"/>
        <v>376</v>
      </c>
      <c r="R25" s="51">
        <f t="shared" si="22"/>
        <v>441</v>
      </c>
      <c r="S25" s="51">
        <f t="shared" si="22"/>
        <v>515</v>
      </c>
      <c r="T25" s="51">
        <f t="shared" si="22"/>
        <v>599</v>
      </c>
      <c r="U25" s="51">
        <f t="shared" si="22"/>
        <v>695</v>
      </c>
      <c r="V25" s="51">
        <f t="shared" si="22"/>
        <v>804</v>
      </c>
      <c r="W25" s="51">
        <f t="shared" si="22"/>
        <v>928</v>
      </c>
      <c r="X25" s="51">
        <f t="shared" si="22"/>
        <v>1069</v>
      </c>
      <c r="Y25" s="51">
        <f t="shared" si="22"/>
        <v>1230</v>
      </c>
      <c r="Z25" s="51">
        <f t="shared" si="22"/>
        <v>1398</v>
      </c>
      <c r="AA25" s="51">
        <f t="shared" si="22"/>
        <v>1574</v>
      </c>
      <c r="AB25" s="51">
        <f t="shared" si="22"/>
        <v>1758</v>
      </c>
      <c r="AC25" s="51">
        <f t="shared" si="22"/>
        <v>1950</v>
      </c>
      <c r="AD25" s="51">
        <f t="shared" si="22"/>
        <v>2151</v>
      </c>
      <c r="AE25" s="51">
        <f t="shared" si="22"/>
        <v>2361</v>
      </c>
      <c r="AF25" s="51">
        <f t="shared" si="22"/>
        <v>2580</v>
      </c>
      <c r="AG25" s="51">
        <f t="shared" si="22"/>
        <v>2809</v>
      </c>
      <c r="AH25" s="51">
        <f t="shared" si="22"/>
        <v>3048</v>
      </c>
      <c r="AI25" s="51">
        <f t="shared" ref="AI25:BI25" si="23">+AH25+AI20</f>
        <v>3298</v>
      </c>
      <c r="AJ25" s="51">
        <f t="shared" si="23"/>
        <v>3559</v>
      </c>
      <c r="AK25" s="51">
        <f t="shared" si="23"/>
        <v>3832</v>
      </c>
      <c r="AL25" s="51">
        <f t="shared" si="23"/>
        <v>4099</v>
      </c>
      <c r="AM25" s="51">
        <f t="shared" si="23"/>
        <v>4360</v>
      </c>
      <c r="AN25" s="51">
        <f t="shared" si="23"/>
        <v>4615</v>
      </c>
      <c r="AO25" s="51">
        <f t="shared" si="23"/>
        <v>4865</v>
      </c>
      <c r="AP25" s="51">
        <f t="shared" si="23"/>
        <v>5110</v>
      </c>
      <c r="AQ25" s="51">
        <f t="shared" si="23"/>
        <v>5350</v>
      </c>
      <c r="AR25" s="51">
        <f t="shared" si="23"/>
        <v>5585</v>
      </c>
      <c r="AS25" s="51">
        <f t="shared" si="23"/>
        <v>5815</v>
      </c>
      <c r="AT25" s="51">
        <f t="shared" si="23"/>
        <v>6040</v>
      </c>
      <c r="AU25" s="51">
        <f t="shared" si="23"/>
        <v>6260</v>
      </c>
      <c r="AV25" s="51">
        <f t="shared" si="23"/>
        <v>6475</v>
      </c>
      <c r="AW25" s="51">
        <f t="shared" si="23"/>
        <v>6685</v>
      </c>
      <c r="AX25" s="51">
        <f t="shared" si="23"/>
        <v>6886</v>
      </c>
      <c r="AY25" s="51">
        <f t="shared" si="23"/>
        <v>7079</v>
      </c>
      <c r="AZ25" s="51">
        <f t="shared" si="23"/>
        <v>7264</v>
      </c>
      <c r="BA25" s="51">
        <f t="shared" si="23"/>
        <v>7441</v>
      </c>
      <c r="BB25" s="51">
        <f t="shared" si="23"/>
        <v>7611</v>
      </c>
      <c r="BC25" s="51">
        <f t="shared" si="23"/>
        <v>7774</v>
      </c>
      <c r="BD25" s="51">
        <f t="shared" si="23"/>
        <v>7930</v>
      </c>
      <c r="BE25" s="51">
        <f t="shared" si="23"/>
        <v>8080</v>
      </c>
      <c r="BF25" s="51">
        <f t="shared" si="23"/>
        <v>8224</v>
      </c>
      <c r="BG25" s="51">
        <f t="shared" si="23"/>
        <v>8362</v>
      </c>
      <c r="BH25" s="51">
        <f t="shared" si="23"/>
        <v>8494</v>
      </c>
      <c r="BI25" s="57">
        <f t="shared" si="23"/>
        <v>8621</v>
      </c>
      <c r="BK25" s="58"/>
    </row>
    <row r="26" spans="1:63">
      <c r="A26" s="67" t="s">
        <v>129</v>
      </c>
      <c r="B26" s="51">
        <f>+B21</f>
        <v>7</v>
      </c>
      <c r="C26" s="51">
        <f t="shared" ref="C26:AH26" si="24">+B26+C21</f>
        <v>15</v>
      </c>
      <c r="D26" s="51">
        <f t="shared" si="24"/>
        <v>25</v>
      </c>
      <c r="E26" s="51">
        <f t="shared" si="24"/>
        <v>37</v>
      </c>
      <c r="F26" s="51">
        <f t="shared" si="24"/>
        <v>51</v>
      </c>
      <c r="G26" s="51">
        <f t="shared" si="24"/>
        <v>68</v>
      </c>
      <c r="H26" s="51">
        <f t="shared" si="24"/>
        <v>88</v>
      </c>
      <c r="I26" s="51">
        <f t="shared" si="24"/>
        <v>112</v>
      </c>
      <c r="J26" s="51">
        <f t="shared" si="24"/>
        <v>141</v>
      </c>
      <c r="K26" s="51">
        <f t="shared" si="24"/>
        <v>175</v>
      </c>
      <c r="L26" s="51">
        <f t="shared" si="24"/>
        <v>215</v>
      </c>
      <c r="M26" s="51">
        <f t="shared" si="24"/>
        <v>263</v>
      </c>
      <c r="N26" s="51">
        <f t="shared" si="24"/>
        <v>318</v>
      </c>
      <c r="O26" s="51">
        <f t="shared" si="24"/>
        <v>381</v>
      </c>
      <c r="P26" s="51">
        <f t="shared" si="24"/>
        <v>453</v>
      </c>
      <c r="Q26" s="51">
        <f t="shared" si="24"/>
        <v>535</v>
      </c>
      <c r="R26" s="51">
        <f t="shared" si="24"/>
        <v>628</v>
      </c>
      <c r="S26" s="51">
        <f t="shared" si="24"/>
        <v>734</v>
      </c>
      <c r="T26" s="51">
        <f t="shared" si="24"/>
        <v>855</v>
      </c>
      <c r="U26" s="51">
        <f t="shared" si="24"/>
        <v>993</v>
      </c>
      <c r="V26" s="51">
        <f t="shared" si="24"/>
        <v>1150</v>
      </c>
      <c r="W26" s="51">
        <f t="shared" si="24"/>
        <v>1329</v>
      </c>
      <c r="X26" s="51">
        <f t="shared" si="24"/>
        <v>1533</v>
      </c>
      <c r="Y26" s="51">
        <f t="shared" si="24"/>
        <v>1766</v>
      </c>
      <c r="Z26" s="51">
        <f t="shared" si="24"/>
        <v>2009</v>
      </c>
      <c r="AA26" s="51">
        <f t="shared" si="24"/>
        <v>2263</v>
      </c>
      <c r="AB26" s="51">
        <f t="shared" si="24"/>
        <v>2528</v>
      </c>
      <c r="AC26" s="51">
        <f t="shared" si="24"/>
        <v>2805</v>
      </c>
      <c r="AD26" s="51">
        <f t="shared" si="24"/>
        <v>3094</v>
      </c>
      <c r="AE26" s="51">
        <f t="shared" si="24"/>
        <v>3396</v>
      </c>
      <c r="AF26" s="51">
        <f t="shared" si="24"/>
        <v>3712</v>
      </c>
      <c r="AG26" s="51">
        <f t="shared" si="24"/>
        <v>4042</v>
      </c>
      <c r="AH26" s="51">
        <f t="shared" si="24"/>
        <v>4387</v>
      </c>
      <c r="AI26" s="51">
        <f t="shared" ref="AI26:BI26" si="25">+AH26+AI21</f>
        <v>4748</v>
      </c>
      <c r="AJ26" s="51">
        <f t="shared" si="25"/>
        <v>5125</v>
      </c>
      <c r="AK26" s="51">
        <f t="shared" si="25"/>
        <v>5519</v>
      </c>
      <c r="AL26" s="51">
        <f t="shared" si="25"/>
        <v>5905</v>
      </c>
      <c r="AM26" s="51">
        <f t="shared" si="25"/>
        <v>6283</v>
      </c>
      <c r="AN26" s="51">
        <f t="shared" si="25"/>
        <v>6653</v>
      </c>
      <c r="AO26" s="51">
        <f t="shared" si="25"/>
        <v>7015</v>
      </c>
      <c r="AP26" s="51">
        <f t="shared" si="25"/>
        <v>7369</v>
      </c>
      <c r="AQ26" s="51">
        <f t="shared" si="25"/>
        <v>7715</v>
      </c>
      <c r="AR26" s="51">
        <f t="shared" si="25"/>
        <v>8054</v>
      </c>
      <c r="AS26" s="51">
        <f t="shared" si="25"/>
        <v>8386</v>
      </c>
      <c r="AT26" s="51">
        <f t="shared" si="25"/>
        <v>8711</v>
      </c>
      <c r="AU26" s="51">
        <f t="shared" si="25"/>
        <v>9029</v>
      </c>
      <c r="AV26" s="51">
        <f t="shared" si="25"/>
        <v>9340</v>
      </c>
      <c r="AW26" s="51">
        <f t="shared" si="25"/>
        <v>9644</v>
      </c>
      <c r="AX26" s="51">
        <f t="shared" si="25"/>
        <v>9935</v>
      </c>
      <c r="AY26" s="51">
        <f t="shared" si="25"/>
        <v>10214</v>
      </c>
      <c r="AZ26" s="51">
        <f t="shared" si="25"/>
        <v>10481</v>
      </c>
      <c r="BA26" s="51">
        <f t="shared" si="25"/>
        <v>10737</v>
      </c>
      <c r="BB26" s="51">
        <f t="shared" si="25"/>
        <v>10982</v>
      </c>
      <c r="BC26" s="51">
        <f t="shared" si="25"/>
        <v>11217</v>
      </c>
      <c r="BD26" s="51">
        <f t="shared" si="25"/>
        <v>11442</v>
      </c>
      <c r="BE26" s="51">
        <f t="shared" si="25"/>
        <v>11658</v>
      </c>
      <c r="BF26" s="51">
        <f t="shared" si="25"/>
        <v>11865</v>
      </c>
      <c r="BG26" s="51">
        <f t="shared" si="25"/>
        <v>12063</v>
      </c>
      <c r="BH26" s="51">
        <f t="shared" si="25"/>
        <v>12253</v>
      </c>
      <c r="BI26" s="57">
        <f t="shared" si="25"/>
        <v>12435</v>
      </c>
    </row>
    <row r="27" spans="1:63" ht="15.75" thickBot="1">
      <c r="A27" s="70" t="s">
        <v>159</v>
      </c>
      <c r="B27" s="59">
        <f>+ROUND((B25+B26)*$B$13,0)</f>
        <v>24</v>
      </c>
      <c r="C27" s="59">
        <f t="shared" ref="C27:M27" si="26">+ROUND((C25+C26)*$B$13,0)</f>
        <v>52</v>
      </c>
      <c r="D27" s="59">
        <f t="shared" si="26"/>
        <v>86</v>
      </c>
      <c r="E27" s="59">
        <f t="shared" si="26"/>
        <v>126</v>
      </c>
      <c r="F27" s="59">
        <f t="shared" si="26"/>
        <v>174</v>
      </c>
      <c r="G27" s="59">
        <f t="shared" si="26"/>
        <v>232</v>
      </c>
      <c r="H27" s="59">
        <f t="shared" si="26"/>
        <v>300</v>
      </c>
      <c r="I27" s="59">
        <f t="shared" si="26"/>
        <v>382</v>
      </c>
      <c r="J27" s="59">
        <f t="shared" si="26"/>
        <v>480</v>
      </c>
      <c r="K27" s="59">
        <f t="shared" si="26"/>
        <v>596</v>
      </c>
      <c r="L27" s="59">
        <f t="shared" si="26"/>
        <v>734</v>
      </c>
      <c r="M27" s="59">
        <f t="shared" si="26"/>
        <v>898</v>
      </c>
      <c r="N27" s="59">
        <f>+ROUND((N25+N26)*$C$13,0)</f>
        <v>2172</v>
      </c>
      <c r="O27" s="59">
        <f t="shared" ref="O27:Y27" si="27">+ROUND((O25+O26)*$C$13,0)</f>
        <v>2600</v>
      </c>
      <c r="P27" s="59">
        <f t="shared" si="27"/>
        <v>3088</v>
      </c>
      <c r="Q27" s="59">
        <f t="shared" si="27"/>
        <v>3644</v>
      </c>
      <c r="R27" s="59">
        <f t="shared" si="27"/>
        <v>4276</v>
      </c>
      <c r="S27" s="59">
        <f t="shared" si="27"/>
        <v>4996</v>
      </c>
      <c r="T27" s="59">
        <f t="shared" si="27"/>
        <v>5816</v>
      </c>
      <c r="U27" s="59">
        <f t="shared" si="27"/>
        <v>6752</v>
      </c>
      <c r="V27" s="59">
        <f t="shared" si="27"/>
        <v>7816</v>
      </c>
      <c r="W27" s="59">
        <f t="shared" si="27"/>
        <v>9028</v>
      </c>
      <c r="X27" s="59">
        <f t="shared" si="27"/>
        <v>10408</v>
      </c>
      <c r="Y27" s="59">
        <f t="shared" si="27"/>
        <v>11984</v>
      </c>
      <c r="Z27" s="59">
        <f>+ROUND((Z25+Z26)*$D$13,0)</f>
        <v>27256</v>
      </c>
      <c r="AA27" s="59">
        <f t="shared" ref="AA27:AK27" si="28">+ROUND((AA25+AA26)*$D$13,0)</f>
        <v>30696</v>
      </c>
      <c r="AB27" s="59">
        <f t="shared" si="28"/>
        <v>34288</v>
      </c>
      <c r="AC27" s="59">
        <f t="shared" si="28"/>
        <v>38040</v>
      </c>
      <c r="AD27" s="59">
        <f t="shared" si="28"/>
        <v>41960</v>
      </c>
      <c r="AE27" s="59">
        <f t="shared" si="28"/>
        <v>46056</v>
      </c>
      <c r="AF27" s="59">
        <f t="shared" si="28"/>
        <v>50336</v>
      </c>
      <c r="AG27" s="59">
        <f t="shared" si="28"/>
        <v>54808</v>
      </c>
      <c r="AH27" s="59">
        <f t="shared" si="28"/>
        <v>59480</v>
      </c>
      <c r="AI27" s="59">
        <f t="shared" si="28"/>
        <v>64368</v>
      </c>
      <c r="AJ27" s="59">
        <f t="shared" si="28"/>
        <v>69472</v>
      </c>
      <c r="AK27" s="59">
        <f t="shared" si="28"/>
        <v>74808</v>
      </c>
      <c r="AL27" s="59">
        <f>+ROUND((AL25+AL26)*$E$13,0)</f>
        <v>160064</v>
      </c>
      <c r="AM27" s="59">
        <f t="shared" ref="AM27:AW27" si="29">+ROUND((AM25+AM26)*$E$13,0)</f>
        <v>170288</v>
      </c>
      <c r="AN27" s="59">
        <f t="shared" si="29"/>
        <v>180288</v>
      </c>
      <c r="AO27" s="59">
        <f t="shared" si="29"/>
        <v>190080</v>
      </c>
      <c r="AP27" s="59">
        <f t="shared" si="29"/>
        <v>199664</v>
      </c>
      <c r="AQ27" s="59">
        <f t="shared" si="29"/>
        <v>209040</v>
      </c>
      <c r="AR27" s="59">
        <f t="shared" si="29"/>
        <v>218224</v>
      </c>
      <c r="AS27" s="59">
        <f t="shared" si="29"/>
        <v>227216</v>
      </c>
      <c r="AT27" s="59">
        <f t="shared" si="29"/>
        <v>236016</v>
      </c>
      <c r="AU27" s="59">
        <f t="shared" si="29"/>
        <v>244624</v>
      </c>
      <c r="AV27" s="59">
        <f t="shared" si="29"/>
        <v>253040</v>
      </c>
      <c r="AW27" s="59">
        <f t="shared" si="29"/>
        <v>261264</v>
      </c>
      <c r="AX27" s="59">
        <f>+ROUND((AX25+AX26)*$F$13,0)</f>
        <v>538272</v>
      </c>
      <c r="AY27" s="59">
        <f t="shared" ref="AY27:BI27" si="30">+ROUND((AY25+AY26)*$F$13,0)</f>
        <v>553376</v>
      </c>
      <c r="AZ27" s="59">
        <f t="shared" si="30"/>
        <v>567840</v>
      </c>
      <c r="BA27" s="59">
        <f t="shared" si="30"/>
        <v>581696</v>
      </c>
      <c r="BB27" s="59">
        <f t="shared" si="30"/>
        <v>594976</v>
      </c>
      <c r="BC27" s="59">
        <f t="shared" si="30"/>
        <v>607712</v>
      </c>
      <c r="BD27" s="59">
        <f t="shared" si="30"/>
        <v>619904</v>
      </c>
      <c r="BE27" s="59">
        <f t="shared" si="30"/>
        <v>631616</v>
      </c>
      <c r="BF27" s="59">
        <f t="shared" si="30"/>
        <v>642848</v>
      </c>
      <c r="BG27" s="59">
        <f t="shared" si="30"/>
        <v>653600</v>
      </c>
      <c r="BH27" s="59">
        <f t="shared" si="30"/>
        <v>663904</v>
      </c>
      <c r="BI27" s="65">
        <f t="shared" si="30"/>
        <v>673792</v>
      </c>
    </row>
    <row r="28" spans="1:63">
      <c r="A28" s="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1:63">
      <c r="A29" s="33"/>
      <c r="B29" s="29"/>
      <c r="C29" s="29"/>
      <c r="D29" s="29"/>
      <c r="E29" s="29"/>
      <c r="F29" s="29"/>
      <c r="G29" s="31"/>
    </row>
    <row r="30" spans="1:63">
      <c r="C30" s="4"/>
      <c r="D30" s="4"/>
      <c r="E30" s="4"/>
      <c r="F30" s="4"/>
      <c r="G30" s="4"/>
    </row>
    <row r="31" spans="1:63">
      <c r="C31" s="4"/>
      <c r="D31" s="4"/>
      <c r="E31" s="4"/>
      <c r="F31" s="4"/>
      <c r="G31" s="4"/>
    </row>
    <row r="32" spans="1:63">
      <c r="C32" s="27"/>
      <c r="G32" s="4"/>
    </row>
    <row r="33" spans="7:7">
      <c r="G33" s="36"/>
    </row>
    <row r="34" spans="7:7">
      <c r="G34" s="36"/>
    </row>
    <row r="35" spans="7:7">
      <c r="G35" s="36"/>
    </row>
    <row r="36" spans="7:7">
      <c r="G36" s="36"/>
    </row>
    <row r="37" spans="7:7">
      <c r="G37" s="36"/>
    </row>
    <row r="38" spans="7:7">
      <c r="G38" s="36"/>
    </row>
    <row r="39" spans="7:7">
      <c r="G39" s="36"/>
    </row>
    <row r="40" spans="7:7">
      <c r="G40" s="4"/>
    </row>
  </sheetData>
  <mergeCells count="2"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B741-B87C-4A28-A444-DA0CD1D812EA}">
  <sheetPr>
    <tabColor rgb="FF00B0F0"/>
  </sheetPr>
  <dimension ref="A2:P34"/>
  <sheetViews>
    <sheetView zoomScale="162" workbookViewId="0">
      <selection activeCell="A12" sqref="A12"/>
    </sheetView>
  </sheetViews>
  <sheetFormatPr baseColWidth="10" defaultColWidth="8.85546875" defaultRowHeight="15"/>
  <cols>
    <col min="1" max="1" width="29.85546875" bestFit="1" customWidth="1"/>
    <col min="2" max="2" width="11.7109375" bestFit="1" customWidth="1"/>
    <col min="3" max="3" width="13.85546875" customWidth="1"/>
    <col min="4" max="4" width="12.85546875" bestFit="1" customWidth="1"/>
    <col min="5" max="5" width="11.42578125" bestFit="1" customWidth="1"/>
    <col min="7" max="7" width="9.7109375" customWidth="1"/>
    <col min="8" max="8" width="11.42578125" bestFit="1" customWidth="1"/>
  </cols>
  <sheetData>
    <row r="2" spans="1:16" ht="15.75" thickBot="1">
      <c r="A2" t="s">
        <v>135</v>
      </c>
    </row>
    <row r="3" spans="1:16">
      <c r="A3" s="17" t="s">
        <v>136</v>
      </c>
      <c r="B3" s="81">
        <v>0</v>
      </c>
      <c r="C3" s="79" t="s">
        <v>37</v>
      </c>
      <c r="D3" s="94" t="s">
        <v>152</v>
      </c>
    </row>
    <row r="4" spans="1:16">
      <c r="A4" s="87" t="s">
        <v>137</v>
      </c>
      <c r="B4" s="119">
        <v>1.9E-2</v>
      </c>
    </row>
    <row r="5" spans="1:16" ht="15.75" thickBot="1">
      <c r="A5" s="88" t="s">
        <v>172</v>
      </c>
      <c r="B5" s="83">
        <v>0.28000000000000003</v>
      </c>
    </row>
    <row r="6" spans="1:16">
      <c r="A6" t="s">
        <v>4</v>
      </c>
      <c r="E6" s="125"/>
    </row>
    <row r="7" spans="1:16" ht="15.75" thickBot="1">
      <c r="A7" s="2"/>
      <c r="B7" s="1" t="s">
        <v>139</v>
      </c>
      <c r="C7" s="1" t="s">
        <v>32</v>
      </c>
      <c r="D7" s="80" t="s">
        <v>33</v>
      </c>
      <c r="E7" s="1" t="s">
        <v>138</v>
      </c>
    </row>
    <row r="8" spans="1:16" ht="14.45" customHeight="1">
      <c r="A8" s="17" t="s">
        <v>3</v>
      </c>
      <c r="B8" s="18">
        <f>+SUM(B9:B13)</f>
        <v>23000</v>
      </c>
      <c r="C8" s="18">
        <f>+SUMPRODUCT($B$9:$B$13,C9:C13)</f>
        <v>21000</v>
      </c>
      <c r="D8" s="18">
        <f>+SUMPRODUCT($B$9:$B$13,D9:D13)</f>
        <v>48000</v>
      </c>
      <c r="E8" s="81">
        <f>+SUMPRODUCT($B$9:$B$13,E9:E13)</f>
        <v>70000</v>
      </c>
    </row>
    <row r="9" spans="1:16">
      <c r="A9" s="19" t="s">
        <v>192</v>
      </c>
      <c r="B9" s="20">
        <v>2000</v>
      </c>
      <c r="C9" s="20">
        <v>5</v>
      </c>
      <c r="D9" s="20">
        <v>8</v>
      </c>
      <c r="E9" s="82">
        <v>14</v>
      </c>
      <c r="J9" s="1"/>
    </row>
    <row r="10" spans="1:16">
      <c r="A10" s="138" t="s">
        <v>205</v>
      </c>
      <c r="B10" s="20">
        <v>5000</v>
      </c>
      <c r="C10" s="20">
        <v>1</v>
      </c>
      <c r="D10" s="20">
        <v>2</v>
      </c>
      <c r="E10" s="82">
        <v>2</v>
      </c>
      <c r="F10" s="41"/>
    </row>
    <row r="11" spans="1:16">
      <c r="A11" s="138" t="s">
        <v>202</v>
      </c>
      <c r="B11" s="20">
        <v>2000</v>
      </c>
      <c r="C11" s="20">
        <v>0</v>
      </c>
      <c r="D11" s="20">
        <v>0</v>
      </c>
      <c r="E11" s="82">
        <v>1</v>
      </c>
      <c r="F11" s="41" t="s">
        <v>203</v>
      </c>
    </row>
    <row r="12" spans="1:16">
      <c r="A12" s="138" t="s">
        <v>206</v>
      </c>
      <c r="B12" s="20">
        <f>72000/12</f>
        <v>6000</v>
      </c>
      <c r="C12" s="20">
        <v>1</v>
      </c>
      <c r="D12" s="20">
        <v>1</v>
      </c>
      <c r="E12" s="82">
        <v>1</v>
      </c>
      <c r="F12" s="94"/>
    </row>
    <row r="13" spans="1:16">
      <c r="A13" s="138" t="s">
        <v>193</v>
      </c>
      <c r="B13" s="20">
        <v>8000</v>
      </c>
      <c r="C13" s="20"/>
      <c r="D13" s="20">
        <v>2</v>
      </c>
      <c r="E13" s="82">
        <v>3</v>
      </c>
      <c r="F13" s="41" t="s">
        <v>204</v>
      </c>
    </row>
    <row r="14" spans="1:16" ht="15.75" thickBot="1">
      <c r="A14" s="120" t="s">
        <v>173</v>
      </c>
      <c r="B14" s="22">
        <v>20000</v>
      </c>
      <c r="C14" s="22">
        <v>2</v>
      </c>
      <c r="D14" s="22">
        <v>2</v>
      </c>
      <c r="E14" s="83">
        <v>2</v>
      </c>
    </row>
    <row r="15" spans="1:16" ht="15.75" thickBot="1">
      <c r="A15" s="53" t="s">
        <v>110</v>
      </c>
      <c r="B15" s="15">
        <v>18</v>
      </c>
    </row>
    <row r="16" spans="1:16" ht="15.75" thickBot="1">
      <c r="A16" s="84" t="s">
        <v>142</v>
      </c>
      <c r="B16" s="85">
        <f>50000*0.023</f>
        <v>1150</v>
      </c>
      <c r="C16" s="86">
        <f>450000*0.022</f>
        <v>9900</v>
      </c>
      <c r="D16" t="s">
        <v>149</v>
      </c>
      <c r="L16" s="94" t="s">
        <v>151</v>
      </c>
      <c r="P16" t="s">
        <v>175</v>
      </c>
    </row>
    <row r="17" spans="1:6">
      <c r="A17" s="53" t="s">
        <v>111</v>
      </c>
      <c r="B17" s="15">
        <v>8.3333333333333339</v>
      </c>
      <c r="C17" s="21" t="s">
        <v>112</v>
      </c>
    </row>
    <row r="18" spans="1:6">
      <c r="A18" s="2" t="s">
        <v>113</v>
      </c>
      <c r="B18" s="15">
        <v>99</v>
      </c>
      <c r="C18" s="39" t="s">
        <v>117</v>
      </c>
    </row>
    <row r="19" spans="1:6">
      <c r="A19" s="2" t="s">
        <v>114</v>
      </c>
      <c r="B19" s="15">
        <v>50</v>
      </c>
      <c r="C19" t="s">
        <v>116</v>
      </c>
    </row>
    <row r="20" spans="1:6">
      <c r="A20" s="2" t="s">
        <v>115</v>
      </c>
      <c r="B20" s="15">
        <v>11</v>
      </c>
      <c r="C20" t="s">
        <v>116</v>
      </c>
    </row>
    <row r="21" spans="1:6">
      <c r="A21" s="2" t="s">
        <v>118</v>
      </c>
      <c r="B21" s="15">
        <v>8.25</v>
      </c>
      <c r="C21" s="21" t="s">
        <v>120</v>
      </c>
    </row>
    <row r="22" spans="1:6">
      <c r="A22" s="2" t="s">
        <v>119</v>
      </c>
      <c r="B22" s="15">
        <v>2.0833333333333335</v>
      </c>
      <c r="C22" s="21" t="s">
        <v>121</v>
      </c>
    </row>
    <row r="23" spans="1:6">
      <c r="A23" s="2" t="s">
        <v>144</v>
      </c>
      <c r="B23" s="15">
        <v>1199</v>
      </c>
      <c r="C23" s="95" t="s">
        <v>145</v>
      </c>
    </row>
    <row r="24" spans="1:6">
      <c r="A24" s="2" t="s">
        <v>123</v>
      </c>
      <c r="B24" s="15">
        <v>2000</v>
      </c>
      <c r="C24" s="95" t="s">
        <v>176</v>
      </c>
    </row>
    <row r="25" spans="1:6" ht="15.75" thickBot="1">
      <c r="A25" s="2" t="s">
        <v>2</v>
      </c>
      <c r="B25" s="15">
        <v>1500</v>
      </c>
      <c r="C25" s="95" t="s">
        <v>176</v>
      </c>
    </row>
    <row r="26" spans="1:6">
      <c r="A26" s="17" t="s">
        <v>56</v>
      </c>
      <c r="B26" s="121">
        <f>+D26/12</f>
        <v>11250</v>
      </c>
      <c r="C26" s="122" t="s">
        <v>177</v>
      </c>
      <c r="D26" s="127">
        <v>135000</v>
      </c>
      <c r="E26" s="155" t="s">
        <v>160</v>
      </c>
    </row>
    <row r="27" spans="1:6">
      <c r="A27" s="87" t="s">
        <v>57</v>
      </c>
      <c r="B27" s="58">
        <f t="shared" ref="B27:B30" si="0">+D27/12</f>
        <v>11250</v>
      </c>
      <c r="C27" s="40"/>
      <c r="D27" s="128">
        <f>+D26*(1-F26)</f>
        <v>135000</v>
      </c>
      <c r="E27" s="155"/>
      <c r="F27" s="130">
        <v>0.2</v>
      </c>
    </row>
    <row r="28" spans="1:6">
      <c r="A28" s="87" t="s">
        <v>58</v>
      </c>
      <c r="B28" s="58">
        <f t="shared" si="0"/>
        <v>9000</v>
      </c>
      <c r="C28" s="40"/>
      <c r="D28" s="128">
        <f>+D27*(1-F27)</f>
        <v>108000</v>
      </c>
      <c r="E28" s="155"/>
      <c r="F28" s="27">
        <f t="shared" ref="F28:F30" si="1">1-D28/D27</f>
        <v>0.19999999999999996</v>
      </c>
    </row>
    <row r="29" spans="1:6">
      <c r="A29" s="87" t="s">
        <v>60</v>
      </c>
      <c r="B29" s="58">
        <f t="shared" si="0"/>
        <v>7200</v>
      </c>
      <c r="C29" s="40"/>
      <c r="D29" s="128">
        <f>+D28*(1-F28)</f>
        <v>86400</v>
      </c>
      <c r="E29" s="155"/>
      <c r="F29" s="27">
        <f t="shared" si="1"/>
        <v>0.19999999999999996</v>
      </c>
    </row>
    <row r="30" spans="1:6" ht="15.75" thickBot="1">
      <c r="A30" s="88" t="s">
        <v>59</v>
      </c>
      <c r="B30" s="64">
        <f t="shared" si="0"/>
        <v>5760</v>
      </c>
      <c r="C30" s="89"/>
      <c r="D30" s="129">
        <f>+D29*(1-F29)</f>
        <v>69120</v>
      </c>
      <c r="E30" s="155"/>
      <c r="F30" s="27">
        <f t="shared" si="1"/>
        <v>0.19999999999999996</v>
      </c>
    </row>
    <row r="32" spans="1:6">
      <c r="C32" s="28"/>
    </row>
    <row r="33" spans="3:3">
      <c r="C33" s="28"/>
    </row>
    <row r="34" spans="3:3">
      <c r="C34" s="28"/>
    </row>
  </sheetData>
  <mergeCells count="1">
    <mergeCell ref="E26:E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377B-6364-4CDA-AF4C-9C0F64FFFD86}">
  <sheetPr>
    <tabColor rgb="FF00B0F0"/>
  </sheetPr>
  <dimension ref="A1:G5"/>
  <sheetViews>
    <sheetView zoomScale="132" workbookViewId="0">
      <selection activeCell="F2" sqref="F2"/>
    </sheetView>
  </sheetViews>
  <sheetFormatPr baseColWidth="10" defaultColWidth="8.85546875" defaultRowHeight="15"/>
  <cols>
    <col min="1" max="1" width="24.42578125" customWidth="1"/>
    <col min="2" max="2" width="13.85546875" bestFit="1" customWidth="1"/>
    <col min="3" max="3" width="9" bestFit="1" customWidth="1"/>
    <col min="4" max="4" width="15.42578125" bestFit="1" customWidth="1"/>
    <col min="5" max="5" width="11.85546875" bestFit="1" customWidth="1"/>
    <col min="6" max="6" width="13" bestFit="1" customWidth="1"/>
    <col min="8" max="8" width="23.42578125" bestFit="1" customWidth="1"/>
  </cols>
  <sheetData>
    <row r="1" spans="1:7" ht="30">
      <c r="A1" s="132" t="s">
        <v>19</v>
      </c>
      <c r="B1" s="133" t="s">
        <v>16</v>
      </c>
      <c r="C1" s="133" t="s">
        <v>17</v>
      </c>
      <c r="D1" s="133" t="s">
        <v>18</v>
      </c>
      <c r="E1" s="134" t="s">
        <v>20</v>
      </c>
      <c r="F1" s="134" t="s">
        <v>21</v>
      </c>
      <c r="G1" s="14" t="s">
        <v>22</v>
      </c>
    </row>
    <row r="2" spans="1:7">
      <c r="A2" s="135" t="s">
        <v>169</v>
      </c>
      <c r="B2" s="136">
        <v>2199</v>
      </c>
      <c r="C2" s="147">
        <f>+SUM('Costos y OPEX'!C9:C14)</f>
        <v>9</v>
      </c>
      <c r="D2" s="137">
        <f>+B2*C2</f>
        <v>19791</v>
      </c>
      <c r="E2" s="91">
        <v>5</v>
      </c>
      <c r="F2" s="137">
        <f>+B2*C2/E2/12</f>
        <v>329.84999999999997</v>
      </c>
      <c r="G2" s="131" t="s">
        <v>187</v>
      </c>
    </row>
    <row r="3" spans="1:7">
      <c r="A3" s="135" t="s">
        <v>170</v>
      </c>
      <c r="B3" s="136">
        <v>2199</v>
      </c>
      <c r="C3" s="147">
        <f>+SUM('Costos y OPEX'!D9:D14)-C2</f>
        <v>6</v>
      </c>
      <c r="D3" s="137">
        <f>+B3*C3</f>
        <v>13194</v>
      </c>
      <c r="E3" s="91">
        <v>5</v>
      </c>
      <c r="F3" s="137">
        <f>+B3*C3/E3/12</f>
        <v>219.9</v>
      </c>
      <c r="G3" s="131" t="s">
        <v>187</v>
      </c>
    </row>
    <row r="4" spans="1:7">
      <c r="A4" s="135" t="s">
        <v>171</v>
      </c>
      <c r="B4" s="136">
        <v>2199</v>
      </c>
      <c r="C4" s="147">
        <f>+SUM('Costos y OPEX'!E9:E14)-C2-C3</f>
        <v>8</v>
      </c>
      <c r="D4" s="137">
        <f>+B4*C4</f>
        <v>17592</v>
      </c>
      <c r="E4" s="91">
        <v>5</v>
      </c>
      <c r="F4" s="137">
        <f>+B4*C4/E4/12</f>
        <v>293.2</v>
      </c>
      <c r="G4" s="131" t="s">
        <v>187</v>
      </c>
    </row>
    <row r="5" spans="1:7">
      <c r="C5" s="1"/>
      <c r="E5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D83E8-3C31-42D9-BAD8-5559EABC074C}">
  <sheetPr>
    <tabColor rgb="FF00B0F0"/>
  </sheetPr>
  <dimension ref="A2:C14"/>
  <sheetViews>
    <sheetView zoomScale="120" workbookViewId="0">
      <selection activeCell="B13" sqref="B13"/>
    </sheetView>
  </sheetViews>
  <sheetFormatPr baseColWidth="10" defaultColWidth="8.85546875" defaultRowHeight="15"/>
  <cols>
    <col min="1" max="1" width="25.140625" bestFit="1" customWidth="1"/>
    <col min="2" max="2" width="16.42578125" bestFit="1" customWidth="1"/>
    <col min="3" max="3" width="14.140625" bestFit="1" customWidth="1"/>
  </cols>
  <sheetData>
    <row r="2" spans="1:3" ht="15.75" thickBot="1"/>
    <row r="3" spans="1:3">
      <c r="A3" s="140" t="s">
        <v>189</v>
      </c>
      <c r="B3" s="141">
        <f>+SUM(B6:B9)*$B$4*$B$5</f>
        <v>180000</v>
      </c>
      <c r="C3" s="94" t="s">
        <v>188</v>
      </c>
    </row>
    <row r="4" spans="1:3">
      <c r="A4" s="87" t="s">
        <v>197</v>
      </c>
      <c r="B4" s="139">
        <f>8*20</f>
        <v>160</v>
      </c>
      <c r="C4" s="94"/>
    </row>
    <row r="5" spans="1:3">
      <c r="A5" s="87" t="s">
        <v>198</v>
      </c>
      <c r="B5" s="139">
        <v>6</v>
      </c>
      <c r="C5" s="94"/>
    </row>
    <row r="6" spans="1:3">
      <c r="A6" s="19" t="s">
        <v>194</v>
      </c>
      <c r="B6" s="108">
        <v>62.5</v>
      </c>
      <c r="C6" s="94"/>
    </row>
    <row r="7" spans="1:3">
      <c r="A7" s="19" t="s">
        <v>195</v>
      </c>
      <c r="B7" s="108">
        <v>50</v>
      </c>
      <c r="C7" s="94"/>
    </row>
    <row r="8" spans="1:3">
      <c r="A8" s="19" t="s">
        <v>196</v>
      </c>
      <c r="B8" s="108">
        <v>37.5</v>
      </c>
      <c r="C8" s="94"/>
    </row>
    <row r="9" spans="1:3">
      <c r="A9" s="19" t="s">
        <v>196</v>
      </c>
      <c r="B9" s="108">
        <v>37.5</v>
      </c>
      <c r="C9" s="94"/>
    </row>
    <row r="10" spans="1:3">
      <c r="A10" s="142" t="s">
        <v>124</v>
      </c>
      <c r="B10" s="143">
        <v>5000</v>
      </c>
      <c r="C10" s="94" t="s">
        <v>188</v>
      </c>
    </row>
    <row r="11" spans="1:3">
      <c r="A11" s="87" t="s">
        <v>199</v>
      </c>
      <c r="B11" s="139">
        <f>8*20</f>
        <v>160</v>
      </c>
      <c r="C11" s="94"/>
    </row>
    <row r="12" spans="1:3">
      <c r="A12" s="19" t="s">
        <v>196</v>
      </c>
      <c r="B12" s="139">
        <v>40</v>
      </c>
      <c r="C12" s="94"/>
    </row>
    <row r="13" spans="1:3" ht="15.75" thickBot="1">
      <c r="A13" s="144" t="s">
        <v>140</v>
      </c>
      <c r="B13" s="145">
        <f>+B3+B10</f>
        <v>185000</v>
      </c>
      <c r="C13" s="4"/>
    </row>
    <row r="14" spans="1:3">
      <c r="B14" s="5"/>
      <c r="C1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DA51-F597-4C5E-BE41-7A8282C0AC8F}">
  <sheetPr>
    <tabColor rgb="FF00B0F0"/>
  </sheetPr>
  <dimension ref="A1:C7"/>
  <sheetViews>
    <sheetView zoomScale="144" workbookViewId="0"/>
  </sheetViews>
  <sheetFormatPr baseColWidth="10" defaultColWidth="8.85546875" defaultRowHeight="15"/>
  <cols>
    <col min="1" max="1" width="22" bestFit="1" customWidth="1"/>
    <col min="2" max="2" width="13.140625" bestFit="1" customWidth="1"/>
    <col min="6" max="6" width="8.85546875" customWidth="1"/>
  </cols>
  <sheetData>
    <row r="1" spans="1:3">
      <c r="A1" s="91" t="s">
        <v>146</v>
      </c>
      <c r="B1" s="91" t="s">
        <v>147</v>
      </c>
      <c r="C1" s="94" t="s">
        <v>150</v>
      </c>
    </row>
    <row r="2" spans="1:3">
      <c r="A2" s="91">
        <v>2020</v>
      </c>
      <c r="B2" s="92">
        <v>1.2999999999999999E-2</v>
      </c>
    </row>
    <row r="3" spans="1:3">
      <c r="A3" s="91">
        <v>2019</v>
      </c>
      <c r="B3" s="92">
        <v>2.3E-2</v>
      </c>
    </row>
    <row r="4" spans="1:3">
      <c r="A4" s="91">
        <v>2018</v>
      </c>
      <c r="B4" s="92">
        <v>0.02</v>
      </c>
    </row>
    <row r="5" spans="1:3">
      <c r="A5" s="91">
        <v>2017</v>
      </c>
      <c r="B5" s="92">
        <v>0.02</v>
      </c>
    </row>
    <row r="6" spans="1:3">
      <c r="A6" s="91">
        <v>2016</v>
      </c>
      <c r="B6" s="92">
        <v>2.1000000000000001E-2</v>
      </c>
    </row>
    <row r="7" spans="1:3">
      <c r="A7" s="91" t="s">
        <v>148</v>
      </c>
      <c r="B7" s="93">
        <f>+AVERAGE(B2:B6)</f>
        <v>1.9400000000000001E-2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Cashflow</vt:lpstr>
      <vt:lpstr>Estado de Resultados</vt:lpstr>
      <vt:lpstr>Ventas</vt:lpstr>
      <vt:lpstr>Costos y OPEX</vt:lpstr>
      <vt:lpstr>BU y Amort</vt:lpstr>
      <vt:lpstr>Inversión</vt:lpstr>
      <vt:lpstr>Inflación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Bey</dc:creator>
  <cp:lastModifiedBy>Hemeroteca</cp:lastModifiedBy>
  <dcterms:created xsi:type="dcterms:W3CDTF">2021-01-25T13:09:43Z</dcterms:created>
  <dcterms:modified xsi:type="dcterms:W3CDTF">2021-11-30T21:24:47Z</dcterms:modified>
</cp:coreProperties>
</file>