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meroteca\Desktop\Repositorio Digital\TESIS DIGITAL\Posgrados\Maestría en Marketing y Comunicación\WATERMARKED PDF\"/>
    </mc:Choice>
  </mc:AlternateContent>
  <xr:revisionPtr revIDLastSave="0" documentId="8_{A57168EE-E838-4677-869F-AE894A78FDAC}" xr6:coauthVersionLast="31" xr6:coauthVersionMax="31" xr10:uidLastSave="{00000000-0000-0000-0000-000000000000}"/>
  <workbookProtection workbookAlgorithmName="SHA-512" workbookHashValue="Bc2tN/LuvJI7YEOJIdyDzxPE2u2KKTsh51rRPEFiu0NLETVkJbNs6bzawo40re+5APiVBQZJoys/abyxoY31nw==" workbookSaltValue="Z62EixfmVYfk+FGu/G8bzA==" workbookSpinCount="100000" lockStructure="1"/>
  <bookViews>
    <workbookView xWindow="0" yWindow="0" windowWidth="16815" windowHeight="6420" tabRatio="500" xr2:uid="{00000000-000D-0000-FFFF-FFFF00000000}"/>
  </bookViews>
  <sheets>
    <sheet name=" P&amp;l 3 años" sheetId="7" r:id="rId1"/>
    <sheet name="Ventas" sheetId="3" r:id="rId2"/>
    <sheet name="ASP" sheetId="11" r:id="rId3"/>
    <sheet name="Remsunen Anual Cash Flow" sheetId="13" r:id="rId4"/>
  </sheets>
  <definedNames>
    <definedName name="IIBB">#REF!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98" i="7" l="1"/>
  <c r="E68" i="7"/>
  <c r="Q68" i="7" s="1"/>
  <c r="E83" i="7"/>
  <c r="E92" i="7"/>
  <c r="F68" i="7"/>
  <c r="F92" i="7"/>
  <c r="G9" i="7"/>
  <c r="G68" i="7"/>
  <c r="G92" i="7"/>
  <c r="V92" i="7" s="1"/>
  <c r="AK92" i="7" s="1"/>
  <c r="H68" i="7"/>
  <c r="H92" i="7"/>
  <c r="I68" i="7"/>
  <c r="I92" i="7"/>
  <c r="J68" i="7"/>
  <c r="J92" i="7"/>
  <c r="K68" i="7"/>
  <c r="K92" i="7"/>
  <c r="Z92" i="7" s="1"/>
  <c r="AO92" i="7" s="1"/>
  <c r="L76" i="7"/>
  <c r="L68" i="7"/>
  <c r="L92" i="7"/>
  <c r="L93" i="7"/>
  <c r="AA93" i="7" s="1"/>
  <c r="AP93" i="7" s="1"/>
  <c r="M68" i="7"/>
  <c r="M92" i="7"/>
  <c r="N8" i="7"/>
  <c r="N68" i="7"/>
  <c r="N92" i="7"/>
  <c r="O68" i="7"/>
  <c r="O92" i="7"/>
  <c r="AD92" i="7" s="1"/>
  <c r="AS92" i="7" s="1"/>
  <c r="P76" i="7"/>
  <c r="P68" i="7"/>
  <c r="P92" i="7"/>
  <c r="P93" i="7"/>
  <c r="L90" i="7"/>
  <c r="AA90" i="7"/>
  <c r="AP90" i="7" s="1"/>
  <c r="M90" i="7"/>
  <c r="AB90" i="7" s="1"/>
  <c r="N90" i="7"/>
  <c r="AC90" i="7"/>
  <c r="AR90" i="7" s="1"/>
  <c r="O90" i="7"/>
  <c r="AD90" i="7" s="1"/>
  <c r="AS90" i="7" s="1"/>
  <c r="P90" i="7"/>
  <c r="AE90" i="7"/>
  <c r="AT90" i="7" s="1"/>
  <c r="K90" i="7"/>
  <c r="Z90" i="7" s="1"/>
  <c r="AO90" i="7"/>
  <c r="F90" i="7"/>
  <c r="U90" i="7"/>
  <c r="AJ90" i="7" s="1"/>
  <c r="G90" i="7"/>
  <c r="V90" i="7" s="1"/>
  <c r="AK90" i="7" s="1"/>
  <c r="H90" i="7"/>
  <c r="W90" i="7"/>
  <c r="AL90" i="7" s="1"/>
  <c r="I90" i="7"/>
  <c r="X90" i="7" s="1"/>
  <c r="AM90" i="7"/>
  <c r="J90" i="7"/>
  <c r="Y90" i="7"/>
  <c r="AN90" i="7" s="1"/>
  <c r="E90" i="7"/>
  <c r="T90" i="7" s="1"/>
  <c r="AI90" i="7" s="1"/>
  <c r="U92" i="7"/>
  <c r="AJ92" i="7"/>
  <c r="W92" i="7"/>
  <c r="AL92" i="7"/>
  <c r="X92" i="7"/>
  <c r="AM92" i="7"/>
  <c r="Y92" i="7"/>
  <c r="AN92" i="7"/>
  <c r="AA92" i="7"/>
  <c r="AP92" i="7"/>
  <c r="AB92" i="7"/>
  <c r="AQ92" i="7"/>
  <c r="AC92" i="7"/>
  <c r="AR92" i="7"/>
  <c r="AE92" i="7"/>
  <c r="AT92" i="7"/>
  <c r="T92" i="7"/>
  <c r="AI92" i="7"/>
  <c r="F91" i="7"/>
  <c r="G91" i="7"/>
  <c r="H91" i="7"/>
  <c r="I91" i="7"/>
  <c r="J91" i="7"/>
  <c r="K91" i="7"/>
  <c r="L91" i="7"/>
  <c r="M91" i="7"/>
  <c r="N91" i="7"/>
  <c r="O91" i="7"/>
  <c r="P91" i="7"/>
  <c r="E91" i="7"/>
  <c r="AJ88" i="7"/>
  <c r="AK88" i="7"/>
  <c r="AL88" i="7"/>
  <c r="AM88" i="7"/>
  <c r="AN88" i="7"/>
  <c r="AO88" i="7"/>
  <c r="AP88" i="7"/>
  <c r="AQ88" i="7"/>
  <c r="AR88" i="7"/>
  <c r="AS88" i="7"/>
  <c r="AT88" i="7"/>
  <c r="AI88" i="7"/>
  <c r="AJ89" i="7"/>
  <c r="AK89" i="7"/>
  <c r="AL89" i="7"/>
  <c r="AM89" i="7"/>
  <c r="AN89" i="7"/>
  <c r="AO89" i="7"/>
  <c r="AP89" i="7"/>
  <c r="AQ89" i="7"/>
  <c r="AR89" i="7"/>
  <c r="AS89" i="7"/>
  <c r="AT89" i="7"/>
  <c r="AI89" i="7"/>
  <c r="U89" i="7"/>
  <c r="V89" i="7"/>
  <c r="W89" i="7"/>
  <c r="X89" i="7"/>
  <c r="Y89" i="7"/>
  <c r="Z89" i="7"/>
  <c r="AA89" i="7"/>
  <c r="AB89" i="7"/>
  <c r="AC89" i="7"/>
  <c r="AD89" i="7"/>
  <c r="AE89" i="7"/>
  <c r="T89" i="7"/>
  <c r="F89" i="7"/>
  <c r="G89" i="7"/>
  <c r="H89" i="7"/>
  <c r="I89" i="7"/>
  <c r="J89" i="7"/>
  <c r="K89" i="7"/>
  <c r="L89" i="7"/>
  <c r="M89" i="7"/>
  <c r="N89" i="7"/>
  <c r="O89" i="7"/>
  <c r="P89" i="7"/>
  <c r="E89" i="7"/>
  <c r="U88" i="7"/>
  <c r="V88" i="7"/>
  <c r="W88" i="7"/>
  <c r="X88" i="7"/>
  <c r="Y88" i="7"/>
  <c r="Z88" i="7"/>
  <c r="AA88" i="7"/>
  <c r="AB88" i="7"/>
  <c r="AC88" i="7"/>
  <c r="AD88" i="7"/>
  <c r="AE88" i="7"/>
  <c r="T88" i="7"/>
  <c r="E88" i="7"/>
  <c r="F88" i="7"/>
  <c r="G88" i="7"/>
  <c r="H88" i="7"/>
  <c r="I88" i="7"/>
  <c r="J88" i="7"/>
  <c r="K88" i="7"/>
  <c r="L88" i="7"/>
  <c r="M88" i="7"/>
  <c r="N88" i="7"/>
  <c r="O88" i="7"/>
  <c r="P88" i="7"/>
  <c r="AU108" i="7"/>
  <c r="AF108" i="7"/>
  <c r="Q108" i="7"/>
  <c r="S13" i="3"/>
  <c r="S27" i="3" s="1"/>
  <c r="T13" i="3"/>
  <c r="T27" i="3" s="1"/>
  <c r="U13" i="3"/>
  <c r="U27" i="3" s="1"/>
  <c r="AJ27" i="3" s="1"/>
  <c r="AY27" i="3" s="1"/>
  <c r="AK9" i="7" s="1"/>
  <c r="V13" i="3"/>
  <c r="V27" i="3" s="1"/>
  <c r="W13" i="3"/>
  <c r="W27" i="3" s="1"/>
  <c r="X13" i="3"/>
  <c r="X27" i="3" s="1"/>
  <c r="Y13" i="3"/>
  <c r="Y27" i="3" s="1"/>
  <c r="AN27" i="3" s="1"/>
  <c r="BC27" i="3" s="1"/>
  <c r="AO9" i="7" s="1"/>
  <c r="Z13" i="3"/>
  <c r="Z27" i="3" s="1"/>
  <c r="L9" i="7" s="1"/>
  <c r="L65" i="7" s="1"/>
  <c r="L79" i="7" s="1"/>
  <c r="L15" i="7" s="1"/>
  <c r="AO27" i="3"/>
  <c r="AA13" i="3"/>
  <c r="AA27" i="3" s="1"/>
  <c r="M9" i="7" s="1"/>
  <c r="AP27" i="3"/>
  <c r="BE27" i="3" s="1"/>
  <c r="AQ9" i="7"/>
  <c r="AQ80" i="7" s="1"/>
  <c r="AB13" i="3"/>
  <c r="AB27" i="3" s="1"/>
  <c r="AC13" i="3"/>
  <c r="AC27" i="3" s="1"/>
  <c r="O9" i="7" s="1"/>
  <c r="AR27" i="3"/>
  <c r="BG27" i="3" s="1"/>
  <c r="AS9" i="7" s="1"/>
  <c r="AD13" i="3"/>
  <c r="AD27" i="3" s="1"/>
  <c r="P9" i="7" s="1"/>
  <c r="P65" i="7" s="1"/>
  <c r="P79" i="7" s="1"/>
  <c r="P15" i="7" s="1"/>
  <c r="AS27" i="3"/>
  <c r="T83" i="7"/>
  <c r="AI83" i="7"/>
  <c r="AH37" i="3"/>
  <c r="AW37" i="3"/>
  <c r="AJ68" i="7"/>
  <c r="AL68" i="7"/>
  <c r="AN68" i="7"/>
  <c r="AP68" i="7"/>
  <c r="AQ68" i="7"/>
  <c r="AQ65" i="7" s="1"/>
  <c r="AQ79" i="7" s="1"/>
  <c r="AQ15" i="7" s="1"/>
  <c r="AR68" i="7"/>
  <c r="AS68" i="7"/>
  <c r="AT68" i="7"/>
  <c r="V9" i="7"/>
  <c r="AB9" i="7"/>
  <c r="T68" i="7"/>
  <c r="U68" i="7"/>
  <c r="V68" i="7"/>
  <c r="W68" i="7"/>
  <c r="X68" i="7"/>
  <c r="Y68" i="7"/>
  <c r="Z68" i="7"/>
  <c r="AA68" i="7"/>
  <c r="AB68" i="7"/>
  <c r="AC68" i="7"/>
  <c r="AD68" i="7"/>
  <c r="AE68" i="7"/>
  <c r="S9" i="3"/>
  <c r="S26" i="3"/>
  <c r="E8" i="7" s="1"/>
  <c r="AH26" i="3"/>
  <c r="T8" i="7" s="1"/>
  <c r="AW26" i="3"/>
  <c r="AI8" i="7" s="1"/>
  <c r="T9" i="3"/>
  <c r="T26" i="3"/>
  <c r="U9" i="3"/>
  <c r="U26" i="3"/>
  <c r="V9" i="3"/>
  <c r="V26" i="3" s="1"/>
  <c r="W9" i="3"/>
  <c r="W26" i="3"/>
  <c r="I8" i="7" s="1"/>
  <c r="I75" i="7" s="1"/>
  <c r="AL26" i="3"/>
  <c r="BA26" i="3"/>
  <c r="AM8" i="7" s="1"/>
  <c r="X9" i="3"/>
  <c r="X26" i="3"/>
  <c r="Y9" i="3"/>
  <c r="Y26" i="3" s="1"/>
  <c r="Z9" i="3"/>
  <c r="Z26" i="3" s="1"/>
  <c r="AA9" i="3"/>
  <c r="AA26" i="3"/>
  <c r="M8" i="7" s="1"/>
  <c r="M75" i="7" s="1"/>
  <c r="AP26" i="3"/>
  <c r="AQ76" i="7"/>
  <c r="AB9" i="3"/>
  <c r="AB26" i="3"/>
  <c r="AQ26" i="3" s="1"/>
  <c r="AC9" i="3"/>
  <c r="AC26" i="3" s="1"/>
  <c r="AD9" i="3"/>
  <c r="AD26" i="3" s="1"/>
  <c r="T75" i="7"/>
  <c r="AB76" i="7"/>
  <c r="AI37" i="3"/>
  <c r="AX37" i="3" s="1"/>
  <c r="AJ37" i="3"/>
  <c r="AY37" i="3" s="1"/>
  <c r="AK37" i="3"/>
  <c r="AZ37" i="3" s="1"/>
  <c r="AL37" i="3"/>
  <c r="BA37" i="3"/>
  <c r="AM37" i="3"/>
  <c r="BB37" i="3" s="1"/>
  <c r="AN37" i="3"/>
  <c r="BC37" i="3"/>
  <c r="AO37" i="3"/>
  <c r="BD37" i="3" s="1"/>
  <c r="AP37" i="3"/>
  <c r="BE37" i="3"/>
  <c r="AQ37" i="3"/>
  <c r="BF37" i="3" s="1"/>
  <c r="AR37" i="3"/>
  <c r="BG37" i="3" s="1"/>
  <c r="AS37" i="3"/>
  <c r="BH37" i="3" s="1"/>
  <c r="T57" i="3"/>
  <c r="U57" i="3"/>
  <c r="V57" i="3" s="1"/>
  <c r="W56" i="3" s="1"/>
  <c r="T56" i="3"/>
  <c r="U56" i="3" s="1"/>
  <c r="V56" i="3"/>
  <c r="Q90" i="7"/>
  <c r="AH20" i="3"/>
  <c r="AQ28" i="3"/>
  <c r="D10" i="11"/>
  <c r="E10" i="11" s="1"/>
  <c r="U109" i="7"/>
  <c r="V109" i="7"/>
  <c r="W109" i="7"/>
  <c r="X109" i="7"/>
  <c r="Y109" i="7"/>
  <c r="Z109" i="7"/>
  <c r="AA109" i="7"/>
  <c r="AB109" i="7"/>
  <c r="AC109" i="7"/>
  <c r="AD109" i="7"/>
  <c r="AE109" i="7"/>
  <c r="T109" i="7"/>
  <c r="U91" i="7"/>
  <c r="S50" i="3"/>
  <c r="F97" i="7"/>
  <c r="U97" i="7"/>
  <c r="Q56" i="7"/>
  <c r="V91" i="7"/>
  <c r="AK91" i="7" s="1"/>
  <c r="G97" i="7"/>
  <c r="V97" i="7"/>
  <c r="AK97" i="7"/>
  <c r="W91" i="7"/>
  <c r="AL91" i="7"/>
  <c r="H97" i="7"/>
  <c r="W97" i="7" s="1"/>
  <c r="X91" i="7"/>
  <c r="I97" i="7"/>
  <c r="X97" i="7" s="1"/>
  <c r="Y91" i="7"/>
  <c r="AN91" i="7" s="1"/>
  <c r="J97" i="7"/>
  <c r="Y97" i="7" s="1"/>
  <c r="AN97" i="7"/>
  <c r="Z91" i="7"/>
  <c r="AO91" i="7" s="1"/>
  <c r="K97" i="7"/>
  <c r="Z97" i="7"/>
  <c r="AO97" i="7"/>
  <c r="AA91" i="7"/>
  <c r="AP91" i="7"/>
  <c r="AP87" i="7" s="1"/>
  <c r="L97" i="7"/>
  <c r="AA97" i="7"/>
  <c r="AQ17" i="7"/>
  <c r="AB91" i="7"/>
  <c r="AQ91" i="7"/>
  <c r="M97" i="7"/>
  <c r="AB97" i="7" s="1"/>
  <c r="AQ97" i="7" s="1"/>
  <c r="AQ100" i="7"/>
  <c r="AQ96" i="7"/>
  <c r="AC91" i="7"/>
  <c r="AR91" i="7" s="1"/>
  <c r="N97" i="7"/>
  <c r="AC97" i="7"/>
  <c r="AR97" i="7"/>
  <c r="AR100" i="7"/>
  <c r="AD91" i="7"/>
  <c r="AS91" i="7" s="1"/>
  <c r="O97" i="7"/>
  <c r="AD97" i="7"/>
  <c r="AS97" i="7"/>
  <c r="AE91" i="7"/>
  <c r="AT91" i="7"/>
  <c r="AE93" i="7"/>
  <c r="AT93" i="7" s="1"/>
  <c r="P97" i="7"/>
  <c r="AE97" i="7"/>
  <c r="AT97" i="7" s="1"/>
  <c r="AT100" i="7" s="1"/>
  <c r="AT96" i="7"/>
  <c r="T91" i="7"/>
  <c r="AI91" i="7"/>
  <c r="E97" i="7"/>
  <c r="T97" i="7" s="1"/>
  <c r="AI97" i="7" s="1"/>
  <c r="V100" i="7"/>
  <c r="Y100" i="7"/>
  <c r="Z100" i="7"/>
  <c r="Z96" i="7"/>
  <c r="AA87" i="7"/>
  <c r="AA100" i="7"/>
  <c r="AB100" i="7"/>
  <c r="AB96" i="7" s="1"/>
  <c r="AC100" i="7"/>
  <c r="AC96" i="7" s="1"/>
  <c r="AD100" i="7"/>
  <c r="AD96" i="7"/>
  <c r="AE87" i="7"/>
  <c r="AE100" i="7"/>
  <c r="T81" i="7"/>
  <c r="T16" i="7" s="1"/>
  <c r="T100" i="7"/>
  <c r="T96" i="7" s="1"/>
  <c r="T28" i="3"/>
  <c r="F100" i="7"/>
  <c r="F96" i="7" s="1"/>
  <c r="S28" i="3"/>
  <c r="U28" i="3"/>
  <c r="V28" i="3"/>
  <c r="W28" i="3"/>
  <c r="X28" i="3"/>
  <c r="Y28" i="3"/>
  <c r="Z28" i="3"/>
  <c r="AA28" i="3"/>
  <c r="AB28" i="3"/>
  <c r="AC28" i="3"/>
  <c r="AD28" i="3"/>
  <c r="G80" i="7"/>
  <c r="G17" i="7"/>
  <c r="G100" i="7"/>
  <c r="G96" i="7"/>
  <c r="H100" i="7"/>
  <c r="H96" i="7" s="1"/>
  <c r="I81" i="7"/>
  <c r="I16" i="7"/>
  <c r="I100" i="7"/>
  <c r="I96" i="7"/>
  <c r="J100" i="7"/>
  <c r="J96" i="7" s="1"/>
  <c r="K100" i="7"/>
  <c r="K96" i="7"/>
  <c r="L80" i="7"/>
  <c r="L17" i="7"/>
  <c r="L100" i="7"/>
  <c r="L96" i="7"/>
  <c r="M81" i="7"/>
  <c r="M16" i="7"/>
  <c r="M80" i="7"/>
  <c r="M17" i="7" s="1"/>
  <c r="M100" i="7"/>
  <c r="M96" i="7" s="1"/>
  <c r="N81" i="7"/>
  <c r="N16" i="7"/>
  <c r="N100" i="7"/>
  <c r="N96" i="7" s="1"/>
  <c r="O80" i="7"/>
  <c r="O17" i="7"/>
  <c r="O100" i="7"/>
  <c r="O96" i="7"/>
  <c r="P80" i="7"/>
  <c r="P17" i="7"/>
  <c r="P100" i="7"/>
  <c r="P96" i="7" s="1"/>
  <c r="D7" i="7"/>
  <c r="D113" i="7" s="1"/>
  <c r="D14" i="7"/>
  <c r="D15" i="7"/>
  <c r="D16" i="7"/>
  <c r="D87" i="7"/>
  <c r="D97" i="7"/>
  <c r="D103" i="7"/>
  <c r="D31" i="7"/>
  <c r="D119" i="7"/>
  <c r="D120" i="7"/>
  <c r="D116" i="7"/>
  <c r="E81" i="7"/>
  <c r="E16" i="7" s="1"/>
  <c r="E100" i="7"/>
  <c r="E96" i="7"/>
  <c r="D7" i="3"/>
  <c r="E7" i="3"/>
  <c r="F7" i="3"/>
  <c r="G7" i="3"/>
  <c r="H7" i="3"/>
  <c r="I7" i="3"/>
  <c r="J7" i="3"/>
  <c r="K7" i="3"/>
  <c r="L7" i="3"/>
  <c r="M7" i="3"/>
  <c r="N7" i="3"/>
  <c r="O7" i="3"/>
  <c r="P8" i="3"/>
  <c r="D9" i="3"/>
  <c r="E9" i="3"/>
  <c r="F9" i="3"/>
  <c r="G9" i="3"/>
  <c r="H9" i="3"/>
  <c r="I9" i="3"/>
  <c r="I26" i="3" s="1"/>
  <c r="I31" i="3" s="1"/>
  <c r="I33" i="3" s="1"/>
  <c r="J9" i="3"/>
  <c r="K9" i="3"/>
  <c r="L9" i="3"/>
  <c r="M9" i="3"/>
  <c r="M26" i="3" s="1"/>
  <c r="M31" i="3" s="1"/>
  <c r="M33" i="3" s="1"/>
  <c r="N9" i="3"/>
  <c r="O9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P12" i="3"/>
  <c r="D13" i="3"/>
  <c r="E13" i="3"/>
  <c r="F13" i="3"/>
  <c r="F27" i="3" s="1"/>
  <c r="G13" i="3"/>
  <c r="H13" i="3"/>
  <c r="I13" i="3"/>
  <c r="J13" i="3"/>
  <c r="K13" i="3"/>
  <c r="L13" i="3"/>
  <c r="M13" i="3"/>
  <c r="N13" i="3"/>
  <c r="O13" i="3"/>
  <c r="D26" i="3"/>
  <c r="D27" i="3"/>
  <c r="D25" i="3" s="1"/>
  <c r="D28" i="3"/>
  <c r="E27" i="3"/>
  <c r="E32" i="3" s="1"/>
  <c r="E34" i="3" s="1"/>
  <c r="F26" i="3"/>
  <c r="F28" i="3"/>
  <c r="G26" i="3"/>
  <c r="G27" i="3"/>
  <c r="G28" i="3"/>
  <c r="H26" i="3"/>
  <c r="H27" i="3"/>
  <c r="H25" i="3" s="1"/>
  <c r="H28" i="3"/>
  <c r="I27" i="3"/>
  <c r="I32" i="3" s="1"/>
  <c r="I34" i="3" s="1"/>
  <c r="J26" i="3"/>
  <c r="J27" i="3"/>
  <c r="J28" i="3"/>
  <c r="K26" i="3"/>
  <c r="K27" i="3"/>
  <c r="K28" i="3"/>
  <c r="L26" i="3"/>
  <c r="L27" i="3"/>
  <c r="L25" i="3" s="1"/>
  <c r="L28" i="3"/>
  <c r="M27" i="3"/>
  <c r="M32" i="3" s="1"/>
  <c r="M34" i="3" s="1"/>
  <c r="N26" i="3"/>
  <c r="N27" i="3"/>
  <c r="N28" i="3"/>
  <c r="O26" i="3"/>
  <c r="O27" i="3"/>
  <c r="O28" i="3"/>
  <c r="D31" i="3"/>
  <c r="F31" i="3"/>
  <c r="G31" i="3"/>
  <c r="H31" i="3"/>
  <c r="J31" i="3"/>
  <c r="K31" i="3"/>
  <c r="L31" i="3"/>
  <c r="N31" i="3"/>
  <c r="O31" i="3"/>
  <c r="D32" i="3"/>
  <c r="D34" i="3" s="1"/>
  <c r="L32" i="3"/>
  <c r="L34" i="3" s="1"/>
  <c r="D33" i="3"/>
  <c r="F33" i="3"/>
  <c r="G33" i="3"/>
  <c r="H33" i="3"/>
  <c r="J33" i="3"/>
  <c r="K33" i="3"/>
  <c r="L33" i="3"/>
  <c r="N33" i="3"/>
  <c r="O33" i="3"/>
  <c r="AI8" i="3"/>
  <c r="AX8" i="3"/>
  <c r="AX9" i="3" s="1"/>
  <c r="AJ8" i="3"/>
  <c r="AY8" i="3" s="1"/>
  <c r="AY9" i="3" s="1"/>
  <c r="AK8" i="3"/>
  <c r="AZ8" i="3"/>
  <c r="AZ9" i="3" s="1"/>
  <c r="AL8" i="3"/>
  <c r="BA8" i="3" s="1"/>
  <c r="AM8" i="3"/>
  <c r="BB8" i="3"/>
  <c r="BB9" i="3" s="1"/>
  <c r="AN8" i="3"/>
  <c r="BC8" i="3" s="1"/>
  <c r="BC9" i="3" s="1"/>
  <c r="AO8" i="3"/>
  <c r="BD8" i="3"/>
  <c r="BD9" i="3" s="1"/>
  <c r="AP8" i="3"/>
  <c r="BE8" i="3" s="1"/>
  <c r="AQ8" i="3"/>
  <c r="BF8" i="3"/>
  <c r="BF9" i="3" s="1"/>
  <c r="AR8" i="3"/>
  <c r="BG8" i="3" s="1"/>
  <c r="BG9" i="3" s="1"/>
  <c r="AS8" i="3"/>
  <c r="BH8" i="3"/>
  <c r="BH9" i="3" s="1"/>
  <c r="BA9" i="3"/>
  <c r="BE9" i="3"/>
  <c r="AI12" i="3"/>
  <c r="AJ12" i="3"/>
  <c r="AY12" i="3" s="1"/>
  <c r="AY13" i="3" s="1"/>
  <c r="AK12" i="3"/>
  <c r="AL12" i="3"/>
  <c r="BA12" i="3" s="1"/>
  <c r="BA13" i="3" s="1"/>
  <c r="AM12" i="3"/>
  <c r="AN12" i="3"/>
  <c r="BC12" i="3" s="1"/>
  <c r="BC13" i="3" s="1"/>
  <c r="AO12" i="3"/>
  <c r="AP12" i="3"/>
  <c r="BE12" i="3" s="1"/>
  <c r="BE13" i="3" s="1"/>
  <c r="AQ12" i="3"/>
  <c r="AR12" i="3"/>
  <c r="BG12" i="3" s="1"/>
  <c r="BG13" i="3" s="1"/>
  <c r="AS12" i="3"/>
  <c r="AJ13" i="3"/>
  <c r="AL13" i="3"/>
  <c r="AN13" i="3"/>
  <c r="AP13" i="3"/>
  <c r="AR13" i="3"/>
  <c r="AI9" i="3"/>
  <c r="AJ9" i="3"/>
  <c r="AK9" i="3"/>
  <c r="AL9" i="3"/>
  <c r="AM9" i="3"/>
  <c r="AN9" i="3"/>
  <c r="AO9" i="3"/>
  <c r="AP9" i="3"/>
  <c r="AQ9" i="3"/>
  <c r="AR9" i="3"/>
  <c r="AS9" i="3"/>
  <c r="AH12" i="3"/>
  <c r="AW12" i="3"/>
  <c r="AW13" i="3" s="1"/>
  <c r="AH8" i="3"/>
  <c r="AW8" i="3"/>
  <c r="AW9" i="3"/>
  <c r="AH13" i="3"/>
  <c r="AH9" i="3"/>
  <c r="AQ67" i="7"/>
  <c r="L67" i="7"/>
  <c r="P67" i="7"/>
  <c r="T64" i="7"/>
  <c r="T66" i="7"/>
  <c r="E64" i="7"/>
  <c r="E66" i="7" s="1"/>
  <c r="I64" i="7"/>
  <c r="I66" i="7" s="1"/>
  <c r="M64" i="7"/>
  <c r="M66" i="7" s="1"/>
  <c r="N64" i="7"/>
  <c r="N66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I37" i="7"/>
  <c r="AJ37" i="7"/>
  <c r="AK37" i="7"/>
  <c r="AL37" i="7"/>
  <c r="AM37" i="7"/>
  <c r="AN37" i="7"/>
  <c r="AO37" i="7"/>
  <c r="AP37" i="7"/>
  <c r="AQ37" i="7"/>
  <c r="AR37" i="7"/>
  <c r="AS37" i="7"/>
  <c r="AT37" i="7"/>
  <c r="E109" i="7"/>
  <c r="E37" i="7"/>
  <c r="F109" i="7"/>
  <c r="F37" i="7" s="1"/>
  <c r="G109" i="7"/>
  <c r="G37" i="7"/>
  <c r="H109" i="7"/>
  <c r="H37" i="7" s="1"/>
  <c r="I109" i="7"/>
  <c r="I37" i="7"/>
  <c r="J109" i="7"/>
  <c r="J37" i="7" s="1"/>
  <c r="K109" i="7"/>
  <c r="K37" i="7"/>
  <c r="L109" i="7"/>
  <c r="L37" i="7" s="1"/>
  <c r="M109" i="7"/>
  <c r="M37" i="7"/>
  <c r="N109" i="7"/>
  <c r="N37" i="7" s="1"/>
  <c r="O109" i="7"/>
  <c r="O37" i="7"/>
  <c r="P109" i="7"/>
  <c r="P37" i="7" s="1"/>
  <c r="D109" i="7"/>
  <c r="D37" i="7"/>
  <c r="AU109" i="7"/>
  <c r="AU99" i="7"/>
  <c r="AU98" i="7"/>
  <c r="AU92" i="7"/>
  <c r="AU89" i="7"/>
  <c r="AU88" i="7"/>
  <c r="BG11" i="3"/>
  <c r="BE11" i="3"/>
  <c r="BC11" i="3"/>
  <c r="BA11" i="3"/>
  <c r="AY11" i="3"/>
  <c r="AW11" i="3"/>
  <c r="BH7" i="3"/>
  <c r="BG7" i="3"/>
  <c r="BF7" i="3"/>
  <c r="BE7" i="3"/>
  <c r="BD7" i="3"/>
  <c r="BC7" i="3"/>
  <c r="BB7" i="3"/>
  <c r="BA7" i="3"/>
  <c r="AZ7" i="3"/>
  <c r="AY7" i="3"/>
  <c r="BI7" i="3" s="1"/>
  <c r="AX7" i="3"/>
  <c r="AW7" i="3"/>
  <c r="AY32" i="3"/>
  <c r="AY34" i="3"/>
  <c r="BC32" i="3"/>
  <c r="BC34" i="3"/>
  <c r="BE32" i="3"/>
  <c r="BE34" i="3"/>
  <c r="BG32" i="3"/>
  <c r="BG34" i="3"/>
  <c r="AW31" i="3"/>
  <c r="BA31" i="3"/>
  <c r="BA33" i="3" s="1"/>
  <c r="T25" i="3"/>
  <c r="U25" i="3"/>
  <c r="AE25" i="3" s="1"/>
  <c r="V25" i="3"/>
  <c r="W25" i="3"/>
  <c r="X25" i="3"/>
  <c r="Y25" i="3"/>
  <c r="Z25" i="3"/>
  <c r="AA25" i="3"/>
  <c r="AB25" i="3"/>
  <c r="AC25" i="3"/>
  <c r="AD25" i="3"/>
  <c r="AF89" i="7"/>
  <c r="AF90" i="7"/>
  <c r="AF91" i="7"/>
  <c r="AF92" i="7"/>
  <c r="AF88" i="7"/>
  <c r="Q88" i="7"/>
  <c r="Q89" i="7"/>
  <c r="Q91" i="7"/>
  <c r="Q92" i="7"/>
  <c r="AF109" i="7"/>
  <c r="AF99" i="7"/>
  <c r="AF98" i="7"/>
  <c r="AF97" i="7"/>
  <c r="Q100" i="7"/>
  <c r="Q99" i="7"/>
  <c r="Q97" i="7"/>
  <c r="AI11" i="3"/>
  <c r="AJ11" i="3"/>
  <c r="AK11" i="3"/>
  <c r="AL11" i="3"/>
  <c r="AM11" i="3"/>
  <c r="AN11" i="3"/>
  <c r="AO11" i="3"/>
  <c r="AP11" i="3"/>
  <c r="AQ11" i="3"/>
  <c r="AR11" i="3"/>
  <c r="AS11" i="3"/>
  <c r="AI7" i="3"/>
  <c r="AJ7" i="3"/>
  <c r="AK7" i="3"/>
  <c r="AL7" i="3"/>
  <c r="AM7" i="3"/>
  <c r="AN7" i="3"/>
  <c r="AO7" i="3"/>
  <c r="AP7" i="3"/>
  <c r="AQ7" i="3"/>
  <c r="AR7" i="3"/>
  <c r="AS7" i="3"/>
  <c r="AH11" i="3"/>
  <c r="AT11" i="3" s="1"/>
  <c r="AH7" i="3"/>
  <c r="T11" i="3"/>
  <c r="U11" i="3"/>
  <c r="AE11" i="3" s="1"/>
  <c r="V11" i="3"/>
  <c r="W11" i="3"/>
  <c r="X11" i="3"/>
  <c r="Y11" i="3"/>
  <c r="Z11" i="3"/>
  <c r="AA11" i="3"/>
  <c r="AB11" i="3"/>
  <c r="AC11" i="3"/>
  <c r="AD11" i="3"/>
  <c r="S11" i="3"/>
  <c r="T7" i="3"/>
  <c r="U7" i="3"/>
  <c r="AE7" i="3" s="1"/>
  <c r="V7" i="3"/>
  <c r="W7" i="3"/>
  <c r="X7" i="3"/>
  <c r="Y7" i="3"/>
  <c r="Z7" i="3"/>
  <c r="AA7" i="3"/>
  <c r="AB7" i="3"/>
  <c r="AC7" i="3"/>
  <c r="AD7" i="3"/>
  <c r="S7" i="3"/>
  <c r="AJ32" i="3"/>
  <c r="AJ34" i="3"/>
  <c r="AN32" i="3"/>
  <c r="AN34" i="3"/>
  <c r="AO32" i="3"/>
  <c r="AO34" i="3" s="1"/>
  <c r="AP32" i="3"/>
  <c r="AP34" i="3"/>
  <c r="AR32" i="3"/>
  <c r="AR34" i="3"/>
  <c r="AS32" i="3"/>
  <c r="AS34" i="3" s="1"/>
  <c r="AH31" i="3"/>
  <c r="AH33" i="3"/>
  <c r="AL31" i="3"/>
  <c r="AL33" i="3"/>
  <c r="AP31" i="3"/>
  <c r="AP33" i="3"/>
  <c r="AQ31" i="3"/>
  <c r="AQ33" i="3"/>
  <c r="AT12" i="3"/>
  <c r="AT9" i="3"/>
  <c r="AT8" i="3"/>
  <c r="AT7" i="3"/>
  <c r="S32" i="3"/>
  <c r="S34" i="3"/>
  <c r="T32" i="3"/>
  <c r="T34" i="3"/>
  <c r="AE34" i="3" s="1"/>
  <c r="U32" i="3"/>
  <c r="U34" i="3"/>
  <c r="V32" i="3"/>
  <c r="V34" i="3"/>
  <c r="W32" i="3"/>
  <c r="W34" i="3"/>
  <c r="X32" i="3"/>
  <c r="X34" i="3"/>
  <c r="Y32" i="3"/>
  <c r="Y34" i="3"/>
  <c r="Z32" i="3"/>
  <c r="Z34" i="3"/>
  <c r="AA32" i="3"/>
  <c r="AA34" i="3"/>
  <c r="AB32" i="3"/>
  <c r="AB34" i="3"/>
  <c r="AC32" i="3"/>
  <c r="AC34" i="3"/>
  <c r="AD32" i="3"/>
  <c r="AD34" i="3"/>
  <c r="S31" i="3"/>
  <c r="S33" i="3"/>
  <c r="T31" i="3"/>
  <c r="T33" i="3" s="1"/>
  <c r="U31" i="3"/>
  <c r="U33" i="3"/>
  <c r="V31" i="3"/>
  <c r="V33" i="3" s="1"/>
  <c r="W31" i="3"/>
  <c r="W33" i="3"/>
  <c r="X31" i="3"/>
  <c r="X33" i="3" s="1"/>
  <c r="Y31" i="3"/>
  <c r="Y33" i="3"/>
  <c r="Z31" i="3"/>
  <c r="Z33" i="3" s="1"/>
  <c r="AA31" i="3"/>
  <c r="AA33" i="3"/>
  <c r="AB31" i="3"/>
  <c r="AB33" i="3" s="1"/>
  <c r="AC31" i="3"/>
  <c r="AC33" i="3"/>
  <c r="AD31" i="3"/>
  <c r="AD33" i="3" s="1"/>
  <c r="AE32" i="3"/>
  <c r="AE31" i="3"/>
  <c r="AE28" i="3"/>
  <c r="S25" i="3"/>
  <c r="AE13" i="3"/>
  <c r="AE12" i="3"/>
  <c r="AE9" i="3"/>
  <c r="AE8" i="3"/>
  <c r="Q109" i="7"/>
  <c r="BI9" i="3"/>
  <c r="AE33" i="3" l="1"/>
  <c r="F25" i="3"/>
  <c r="F32" i="3"/>
  <c r="F34" i="3" s="1"/>
  <c r="BI8" i="3"/>
  <c r="AW33" i="3"/>
  <c r="N25" i="3"/>
  <c r="N32" i="3"/>
  <c r="N34" i="3" s="1"/>
  <c r="Q96" i="7"/>
  <c r="Q37" i="7"/>
  <c r="AU37" i="7"/>
  <c r="AY37" i="7" s="1"/>
  <c r="AS13" i="3"/>
  <c r="BH12" i="3"/>
  <c r="AO13" i="3"/>
  <c r="BD12" i="3"/>
  <c r="AK13" i="3"/>
  <c r="AZ12" i="3"/>
  <c r="H32" i="3"/>
  <c r="H34" i="3" s="1"/>
  <c r="O32" i="3"/>
  <c r="O34" i="3" s="1"/>
  <c r="P34" i="3" s="1"/>
  <c r="O25" i="3"/>
  <c r="G32" i="3"/>
  <c r="G34" i="3" s="1"/>
  <c r="G25" i="3"/>
  <c r="P7" i="3"/>
  <c r="D20" i="7"/>
  <c r="D12" i="7" s="1"/>
  <c r="D22" i="7" s="1"/>
  <c r="J25" i="3"/>
  <c r="J32" i="3"/>
  <c r="J34" i="3" s="1"/>
  <c r="M28" i="3"/>
  <c r="M25" i="3"/>
  <c r="I28" i="3"/>
  <c r="I25" i="3" s="1"/>
  <c r="P9" i="3"/>
  <c r="P26" i="3" s="1"/>
  <c r="E26" i="3"/>
  <c r="D100" i="7"/>
  <c r="D96" i="7" s="1"/>
  <c r="D25" i="7" s="1"/>
  <c r="AX37" i="7"/>
  <c r="BF12" i="3"/>
  <c r="AQ13" i="3"/>
  <c r="BB12" i="3"/>
  <c r="AM13" i="3"/>
  <c r="AX12" i="3"/>
  <c r="AI13" i="3"/>
  <c r="AT13" i="3" s="1"/>
  <c r="K32" i="3"/>
  <c r="K34" i="3" s="1"/>
  <c r="K25" i="3"/>
  <c r="P13" i="3"/>
  <c r="P27" i="3" s="1"/>
  <c r="P18" i="7"/>
  <c r="P10" i="7"/>
  <c r="L18" i="7"/>
  <c r="L10" i="7"/>
  <c r="H18" i="7"/>
  <c r="H10" i="7"/>
  <c r="AI100" i="7"/>
  <c r="AI96" i="7"/>
  <c r="AS100" i="7"/>
  <c r="AS96" i="7" s="1"/>
  <c r="W100" i="7"/>
  <c r="W96" i="7" s="1"/>
  <c r="AL97" i="7"/>
  <c r="U100" i="7"/>
  <c r="AF100" i="7" s="1"/>
  <c r="AJ97" i="7"/>
  <c r="O18" i="7"/>
  <c r="O10" i="7"/>
  <c r="K18" i="7"/>
  <c r="K10" i="7"/>
  <c r="G18" i="7"/>
  <c r="G10" i="7"/>
  <c r="F10" i="7"/>
  <c r="F18" i="7"/>
  <c r="AT87" i="7"/>
  <c r="AT25" i="7" s="1"/>
  <c r="Y96" i="7"/>
  <c r="AM97" i="7"/>
  <c r="X100" i="7"/>
  <c r="X96" i="7" s="1"/>
  <c r="V80" i="7"/>
  <c r="V17" i="7" s="1"/>
  <c r="V76" i="7"/>
  <c r="V65" i="7"/>
  <c r="N10" i="7"/>
  <c r="N18" i="7"/>
  <c r="J10" i="7"/>
  <c r="J18" i="7"/>
  <c r="E10" i="7"/>
  <c r="E18" i="7"/>
  <c r="AP97" i="7"/>
  <c r="AA96" i="7"/>
  <c r="AA25" i="7" s="1"/>
  <c r="AO96" i="7"/>
  <c r="AO100" i="7"/>
  <c r="AM91" i="7"/>
  <c r="AC10" i="7"/>
  <c r="AC18" i="7"/>
  <c r="F8" i="7"/>
  <c r="AE26" i="3"/>
  <c r="S59" i="3" s="1"/>
  <c r="AI26" i="3"/>
  <c r="AN100" i="7"/>
  <c r="AN96" i="7" s="1"/>
  <c r="AQ90" i="7"/>
  <c r="J8" i="7"/>
  <c r="AM26" i="3"/>
  <c r="H8" i="7"/>
  <c r="AK26" i="3"/>
  <c r="AI75" i="7"/>
  <c r="AI81" i="7"/>
  <c r="AF68" i="7"/>
  <c r="AX68" i="7" s="1"/>
  <c r="AD9" i="7"/>
  <c r="I9" i="7"/>
  <c r="AL27" i="3"/>
  <c r="K9" i="7"/>
  <c r="AR96" i="7"/>
  <c r="AK96" i="7"/>
  <c r="AK100" i="7"/>
  <c r="AJ91" i="7"/>
  <c r="AH28" i="3"/>
  <c r="AW20" i="3"/>
  <c r="AW28" i="3" s="1"/>
  <c r="BF26" i="3"/>
  <c r="AC8" i="7"/>
  <c r="AB8" i="7"/>
  <c r="BE26" i="3"/>
  <c r="AP28" i="3"/>
  <c r="K8" i="7"/>
  <c r="AN26" i="3"/>
  <c r="AM75" i="7"/>
  <c r="AM81" i="7"/>
  <c r="AM16" i="7" s="1"/>
  <c r="G8" i="7"/>
  <c r="AJ26" i="3"/>
  <c r="AS80" i="7"/>
  <c r="AS17" i="7" s="1"/>
  <c r="AS76" i="7"/>
  <c r="AS65" i="7"/>
  <c r="AO80" i="7"/>
  <c r="AO17" i="7" s="1"/>
  <c r="AO76" i="7"/>
  <c r="N75" i="7"/>
  <c r="M10" i="7"/>
  <c r="M18" i="7"/>
  <c r="I10" i="7"/>
  <c r="I18" i="7"/>
  <c r="AE96" i="7"/>
  <c r="AE25" i="7" s="1"/>
  <c r="V96" i="7"/>
  <c r="AE27" i="3"/>
  <c r="S61" i="3" s="1"/>
  <c r="O8" i="7"/>
  <c r="AR26" i="3"/>
  <c r="X8" i="7"/>
  <c r="AL28" i="3"/>
  <c r="Z9" i="7"/>
  <c r="O76" i="7"/>
  <c r="O65" i="7"/>
  <c r="G76" i="7"/>
  <c r="G65" i="7"/>
  <c r="L8" i="7"/>
  <c r="AO26" i="3"/>
  <c r="E75" i="7"/>
  <c r="AB80" i="7"/>
  <c r="AB17" i="7" s="1"/>
  <c r="AB65" i="7"/>
  <c r="BD27" i="3"/>
  <c r="AA9" i="7"/>
  <c r="AK80" i="7"/>
  <c r="AK17" i="7" s="1"/>
  <c r="AK76" i="7"/>
  <c r="O87" i="7"/>
  <c r="O25" i="7" s="1"/>
  <c r="K87" i="7"/>
  <c r="K25" i="7" s="1"/>
  <c r="F93" i="7"/>
  <c r="U93" i="7" s="1"/>
  <c r="AJ93" i="7" s="1"/>
  <c r="J93" i="7"/>
  <c r="Y93" i="7" s="1"/>
  <c r="N93" i="7"/>
  <c r="AC93" i="7" s="1"/>
  <c r="E93" i="7"/>
  <c r="I93" i="7"/>
  <c r="M93" i="7"/>
  <c r="G93" i="7"/>
  <c r="V93" i="7" s="1"/>
  <c r="K93" i="7"/>
  <c r="Z93" i="7" s="1"/>
  <c r="AO93" i="7" s="1"/>
  <c r="AO87" i="7" s="1"/>
  <c r="AO25" i="7" s="1"/>
  <c r="O93" i="7"/>
  <c r="AD93" i="7" s="1"/>
  <c r="H93" i="7"/>
  <c r="W93" i="7" s="1"/>
  <c r="P8" i="7"/>
  <c r="AS26" i="3"/>
  <c r="BH27" i="3"/>
  <c r="AE9" i="7"/>
  <c r="N9" i="7"/>
  <c r="AQ27" i="3"/>
  <c r="E9" i="7"/>
  <c r="AH27" i="3"/>
  <c r="P87" i="7"/>
  <c r="P25" i="7" s="1"/>
  <c r="L87" i="7"/>
  <c r="L25" i="7" s="1"/>
  <c r="H87" i="7"/>
  <c r="H25" i="7" s="1"/>
  <c r="AM27" i="3"/>
  <c r="J9" i="7"/>
  <c r="AK27" i="3"/>
  <c r="H9" i="7"/>
  <c r="AI27" i="3"/>
  <c r="F9" i="7"/>
  <c r="J87" i="7"/>
  <c r="J25" i="7" s="1"/>
  <c r="F87" i="7"/>
  <c r="F25" i="7" s="1"/>
  <c r="AI68" i="7"/>
  <c r="AM68" i="7"/>
  <c r="AM64" i="7" s="1"/>
  <c r="AM66" i="7" s="1"/>
  <c r="AK68" i="7"/>
  <c r="AK65" i="7" s="1"/>
  <c r="AO68" i="7"/>
  <c r="AO65" i="7" s="1"/>
  <c r="M65" i="7"/>
  <c r="M76" i="7"/>
  <c r="M14" i="7" s="1"/>
  <c r="M7" i="7"/>
  <c r="M19" i="7" l="1"/>
  <c r="AK79" i="7"/>
  <c r="AK15" i="7" s="1"/>
  <c r="AK67" i="7"/>
  <c r="AO79" i="7"/>
  <c r="AO15" i="7" s="1"/>
  <c r="AO67" i="7"/>
  <c r="M119" i="7"/>
  <c r="M113" i="7"/>
  <c r="H65" i="7"/>
  <c r="H76" i="7"/>
  <c r="H80" i="7"/>
  <c r="H17" i="7" s="1"/>
  <c r="E76" i="7"/>
  <c r="E65" i="7"/>
  <c r="E80" i="7"/>
  <c r="Q9" i="7"/>
  <c r="AT9" i="7"/>
  <c r="BH32" i="3"/>
  <c r="BH34" i="3" s="1"/>
  <c r="P75" i="7"/>
  <c r="P14" i="7" s="1"/>
  <c r="P7" i="7"/>
  <c r="P64" i="7"/>
  <c r="P66" i="7" s="1"/>
  <c r="P81" i="7"/>
  <c r="P16" i="7" s="1"/>
  <c r="P19" i="7"/>
  <c r="AR93" i="7"/>
  <c r="AR87" i="7" s="1"/>
  <c r="AR25" i="7" s="1"/>
  <c r="AC87" i="7"/>
  <c r="AC25" i="7" s="1"/>
  <c r="L75" i="7"/>
  <c r="L14" i="7" s="1"/>
  <c r="L7" i="7"/>
  <c r="L81" i="7"/>
  <c r="L16" i="7" s="1"/>
  <c r="L64" i="7"/>
  <c r="L66" i="7" s="1"/>
  <c r="J7" i="7"/>
  <c r="J75" i="7"/>
  <c r="J81" i="7"/>
  <c r="J16" i="7" s="1"/>
  <c r="J64" i="7"/>
  <c r="J66" i="7" s="1"/>
  <c r="F7" i="7"/>
  <c r="F75" i="7"/>
  <c r="F81" i="7"/>
  <c r="F64" i="7"/>
  <c r="Q8" i="7"/>
  <c r="BD13" i="3"/>
  <c r="BD11" i="3"/>
  <c r="N87" i="7"/>
  <c r="N25" i="7" s="1"/>
  <c r="AZ27" i="3"/>
  <c r="W9" i="7"/>
  <c r="AK32" i="3"/>
  <c r="AK34" i="3" s="1"/>
  <c r="BF27" i="3"/>
  <c r="AC9" i="7"/>
  <c r="AQ32" i="3"/>
  <c r="AQ34" i="3" s="1"/>
  <c r="AL93" i="7"/>
  <c r="AL87" i="7" s="1"/>
  <c r="W87" i="7"/>
  <c r="W25" i="7" s="1"/>
  <c r="AN93" i="7"/>
  <c r="AN87" i="7" s="1"/>
  <c r="AN25" i="7" s="1"/>
  <c r="Y87" i="7"/>
  <c r="Y25" i="7" s="1"/>
  <c r="AA65" i="7"/>
  <c r="AA80" i="7"/>
  <c r="AA17" i="7" s="1"/>
  <c r="AA76" i="7"/>
  <c r="Z80" i="7"/>
  <c r="Z17" i="7" s="1"/>
  <c r="Z65" i="7"/>
  <c r="Z76" i="7"/>
  <c r="N14" i="7"/>
  <c r="N19" i="7" s="1"/>
  <c r="AC7" i="7"/>
  <c r="AC75" i="7"/>
  <c r="AC81" i="7"/>
  <c r="AC16" i="7" s="1"/>
  <c r="AC64" i="7"/>
  <c r="AC66" i="7" s="1"/>
  <c r="W8" i="7"/>
  <c r="AZ26" i="3"/>
  <c r="AK28" i="3"/>
  <c r="AK25" i="3"/>
  <c r="AK31" i="3"/>
  <c r="AK33" i="3" s="1"/>
  <c r="AQ25" i="3"/>
  <c r="V79" i="7"/>
  <c r="V15" i="7" s="1"/>
  <c r="V67" i="7"/>
  <c r="AL100" i="7"/>
  <c r="AL96" i="7" s="1"/>
  <c r="BF13" i="3"/>
  <c r="BF11" i="3"/>
  <c r="M79" i="7"/>
  <c r="M15" i="7" s="1"/>
  <c r="M67" i="7"/>
  <c r="AU68" i="7"/>
  <c r="AY68" i="7" s="1"/>
  <c r="AI64" i="7"/>
  <c r="F76" i="7"/>
  <c r="F65" i="7"/>
  <c r="F80" i="7"/>
  <c r="F17" i="7" s="1"/>
  <c r="J76" i="7"/>
  <c r="J65" i="7"/>
  <c r="J80" i="7"/>
  <c r="J17" i="7" s="1"/>
  <c r="P26" i="7"/>
  <c r="N76" i="7"/>
  <c r="N65" i="7"/>
  <c r="N80" i="7"/>
  <c r="N17" i="7" s="1"/>
  <c r="AD87" i="7"/>
  <c r="AD25" i="7" s="1"/>
  <c r="AS93" i="7"/>
  <c r="AS87" i="7" s="1"/>
  <c r="AS25" i="7" s="1"/>
  <c r="I87" i="7"/>
  <c r="I25" i="7" s="1"/>
  <c r="X93" i="7"/>
  <c r="AP9" i="7"/>
  <c r="BD32" i="3"/>
  <c r="BD34" i="3" s="1"/>
  <c r="E7" i="7"/>
  <c r="X18" i="7"/>
  <c r="X10" i="7"/>
  <c r="BG26" i="3"/>
  <c r="AD8" i="7"/>
  <c r="AR25" i="3"/>
  <c r="AR28" i="3"/>
  <c r="AR31" i="3"/>
  <c r="AR33" i="3" s="1"/>
  <c r="N7" i="7"/>
  <c r="AS79" i="7"/>
  <c r="AS15" i="7" s="1"/>
  <c r="AS67" i="7"/>
  <c r="G7" i="7"/>
  <c r="G75" i="7"/>
  <c r="G14" i="7" s="1"/>
  <c r="G81" i="7"/>
  <c r="G16" i="7" s="1"/>
  <c r="G64" i="7"/>
  <c r="G66" i="7" s="1"/>
  <c r="AQ8" i="7"/>
  <c r="BE28" i="3"/>
  <c r="BE31" i="3"/>
  <c r="BE33" i="3" s="1"/>
  <c r="AR8" i="7"/>
  <c r="BF28" i="3"/>
  <c r="BF31" i="3"/>
  <c r="BF33" i="3" s="1"/>
  <c r="U87" i="7"/>
  <c r="I65" i="7"/>
  <c r="I76" i="7"/>
  <c r="I14" i="7" s="1"/>
  <c r="I7" i="7"/>
  <c r="I19" i="7"/>
  <c r="I80" i="7"/>
  <c r="I17" i="7" s="1"/>
  <c r="AI16" i="7"/>
  <c r="H75" i="7"/>
  <c r="H7" i="7"/>
  <c r="H81" i="7"/>
  <c r="H16" i="7" s="1"/>
  <c r="H64" i="7"/>
  <c r="H66" i="7" s="1"/>
  <c r="AU90" i="7"/>
  <c r="AX26" i="3"/>
  <c r="AT26" i="3"/>
  <c r="T59" i="3" s="1"/>
  <c r="T60" i="3" s="1"/>
  <c r="U8" i="7"/>
  <c r="AI28" i="3"/>
  <c r="AI31" i="3"/>
  <c r="AP100" i="7"/>
  <c r="AP96" i="7" s="1"/>
  <c r="AP25" i="7" s="1"/>
  <c r="AJ96" i="7"/>
  <c r="AJ100" i="7"/>
  <c r="AU97" i="7"/>
  <c r="D28" i="7"/>
  <c r="D34" i="7" s="1"/>
  <c r="D39" i="7" s="1"/>
  <c r="AZ13" i="3"/>
  <c r="AZ11" i="3"/>
  <c r="BH13" i="3"/>
  <c r="BH11" i="3"/>
  <c r="V87" i="7"/>
  <c r="V25" i="7" s="1"/>
  <c r="AK93" i="7"/>
  <c r="AK87" i="7" s="1"/>
  <c r="AK25" i="7" s="1"/>
  <c r="X81" i="7"/>
  <c r="X16" i="7" s="1"/>
  <c r="X75" i="7"/>
  <c r="X7" i="7"/>
  <c r="X64" i="7"/>
  <c r="X66" i="7" s="1"/>
  <c r="S62" i="3"/>
  <c r="K7" i="7"/>
  <c r="K75" i="7"/>
  <c r="K81" i="7"/>
  <c r="K16" i="7" s="1"/>
  <c r="K64" i="7"/>
  <c r="K66" i="7" s="1"/>
  <c r="AB19" i="7"/>
  <c r="AB7" i="7"/>
  <c r="AB75" i="7"/>
  <c r="AB14" i="7" s="1"/>
  <c r="AB81" i="7"/>
  <c r="AB16" i="7" s="1"/>
  <c r="AB64" i="7"/>
  <c r="AB66" i="7" s="1"/>
  <c r="T10" i="7"/>
  <c r="T18" i="7"/>
  <c r="K76" i="7"/>
  <c r="K65" i="7"/>
  <c r="K80" i="7"/>
  <c r="K17" i="7" s="1"/>
  <c r="Q10" i="7"/>
  <c r="L26" i="7"/>
  <c r="M87" i="7"/>
  <c r="M25" i="7" s="1"/>
  <c r="M26" i="7" s="1"/>
  <c r="AB93" i="7"/>
  <c r="O26" i="7"/>
  <c r="G79" i="7"/>
  <c r="G15" i="7" s="1"/>
  <c r="G67" i="7"/>
  <c r="AY26" i="3"/>
  <c r="AJ25" i="3"/>
  <c r="AJ28" i="3"/>
  <c r="V8" i="7"/>
  <c r="AJ31" i="3"/>
  <c r="AJ33" i="3" s="1"/>
  <c r="AB10" i="7"/>
  <c r="AB18" i="7"/>
  <c r="AJ87" i="7"/>
  <c r="AJ25" i="7" s="1"/>
  <c r="AU91" i="7"/>
  <c r="BA27" i="3"/>
  <c r="X9" i="7"/>
  <c r="AL32" i="3"/>
  <c r="AL34" i="3" s="1"/>
  <c r="AX13" i="3"/>
  <c r="BI12" i="3"/>
  <c r="AX11" i="3"/>
  <c r="E28" i="3"/>
  <c r="P28" i="3" s="1"/>
  <c r="E31" i="3"/>
  <c r="F26" i="7"/>
  <c r="AX27" i="3"/>
  <c r="U9" i="7"/>
  <c r="AI32" i="3"/>
  <c r="AI34" i="3" s="1"/>
  <c r="BB27" i="3"/>
  <c r="Y9" i="7"/>
  <c r="AM32" i="3"/>
  <c r="AM34" i="3" s="1"/>
  <c r="AW27" i="3"/>
  <c r="AH25" i="3"/>
  <c r="T9" i="7"/>
  <c r="AT27" i="3"/>
  <c r="T61" i="3" s="1"/>
  <c r="T62" i="3" s="1"/>
  <c r="AH32" i="3"/>
  <c r="AE80" i="7"/>
  <c r="AE17" i="7" s="1"/>
  <c r="AE76" i="7"/>
  <c r="AE65" i="7"/>
  <c r="AE8" i="7"/>
  <c r="BH26" i="3"/>
  <c r="AS28" i="3"/>
  <c r="AS25" i="3" s="1"/>
  <c r="AS31" i="3"/>
  <c r="AS33" i="3" s="1"/>
  <c r="T93" i="7"/>
  <c r="E87" i="7"/>
  <c r="Q93" i="7"/>
  <c r="G87" i="7"/>
  <c r="G25" i="7" s="1"/>
  <c r="G26" i="7" s="1"/>
  <c r="AB79" i="7"/>
  <c r="AB15" i="7" s="1"/>
  <c r="AB67" i="7"/>
  <c r="AA8" i="7"/>
  <c r="BD26" i="3"/>
  <c r="AO28" i="3"/>
  <c r="AO25" i="3"/>
  <c r="AO31" i="3"/>
  <c r="AO33" i="3" s="1"/>
  <c r="O79" i="7"/>
  <c r="O15" i="7" s="1"/>
  <c r="O67" i="7"/>
  <c r="AL25" i="3"/>
  <c r="O7" i="7"/>
  <c r="O75" i="7"/>
  <c r="O14" i="7" s="1"/>
  <c r="O19" i="7" s="1"/>
  <c r="O64" i="7"/>
  <c r="O66" i="7" s="1"/>
  <c r="O81" i="7"/>
  <c r="O16" i="7" s="1"/>
  <c r="Z87" i="7"/>
  <c r="Z25" i="7" s="1"/>
  <c r="BC26" i="3"/>
  <c r="AN25" i="3"/>
  <c r="AN28" i="3"/>
  <c r="Z8" i="7"/>
  <c r="AN31" i="3"/>
  <c r="AN33" i="3" s="1"/>
  <c r="AP25" i="3"/>
  <c r="AI18" i="7"/>
  <c r="AI10" i="7"/>
  <c r="AD80" i="7"/>
  <c r="AD17" i="7" s="1"/>
  <c r="AD65" i="7"/>
  <c r="AD76" i="7"/>
  <c r="BB26" i="3"/>
  <c r="Y8" i="7"/>
  <c r="AM28" i="3"/>
  <c r="AM31" i="3"/>
  <c r="AM33" i="3" s="1"/>
  <c r="BA28" i="3"/>
  <c r="S60" i="3"/>
  <c r="Q18" i="7"/>
  <c r="AM96" i="7"/>
  <c r="AM100" i="7"/>
  <c r="U96" i="7"/>
  <c r="AF96" i="7" s="1"/>
  <c r="AX96" i="7" s="1"/>
  <c r="P32" i="3"/>
  <c r="BB13" i="3"/>
  <c r="BB11" i="3"/>
  <c r="D114" i="7"/>
  <c r="AU96" i="7" l="1"/>
  <c r="AY96" i="7" s="1"/>
  <c r="AM10" i="7"/>
  <c r="AM18" i="7"/>
  <c r="AE75" i="7"/>
  <c r="AE14" i="7" s="1"/>
  <c r="AE19" i="7" s="1"/>
  <c r="AE81" i="7"/>
  <c r="AE16" i="7" s="1"/>
  <c r="AE64" i="7"/>
  <c r="AE66" i="7" s="1"/>
  <c r="K79" i="7"/>
  <c r="K15" i="7" s="1"/>
  <c r="K20" i="7" s="1"/>
  <c r="K67" i="7"/>
  <c r="AB119" i="7"/>
  <c r="AB20" i="7"/>
  <c r="AB12" i="7" s="1"/>
  <c r="AB22" i="7" s="1"/>
  <c r="AB113" i="7"/>
  <c r="U75" i="7"/>
  <c r="U81" i="7"/>
  <c r="U64" i="7"/>
  <c r="AF8" i="7"/>
  <c r="H119" i="7"/>
  <c r="H20" i="7"/>
  <c r="H113" i="7"/>
  <c r="I79" i="7"/>
  <c r="I15" i="7" s="1"/>
  <c r="I67" i="7"/>
  <c r="AR18" i="7"/>
  <c r="AR10" i="7"/>
  <c r="AQ10" i="7"/>
  <c r="AQ18" i="7"/>
  <c r="AM93" i="7"/>
  <c r="AM87" i="7" s="1"/>
  <c r="AM25" i="7" s="1"/>
  <c r="X87" i="7"/>
  <c r="X25" i="7" s="1"/>
  <c r="X26" i="7" s="1"/>
  <c r="AC113" i="7"/>
  <c r="AC119" i="7"/>
  <c r="Z79" i="7"/>
  <c r="Z15" i="7" s="1"/>
  <c r="Z67" i="7"/>
  <c r="AC65" i="7"/>
  <c r="AC76" i="7"/>
  <c r="AC80" i="7"/>
  <c r="AC17" i="7" s="1"/>
  <c r="AL9" i="7"/>
  <c r="AZ32" i="3"/>
  <c r="AZ34" i="3" s="1"/>
  <c r="F14" i="7"/>
  <c r="L120" i="7"/>
  <c r="E17" i="7"/>
  <c r="Q17" i="7" s="1"/>
  <c r="BA17" i="7" s="1"/>
  <c r="Q80" i="7"/>
  <c r="D115" i="7"/>
  <c r="AU100" i="7"/>
  <c r="AN8" i="7"/>
  <c r="BB28" i="3"/>
  <c r="BB25" i="3" s="1"/>
  <c r="BB31" i="3"/>
  <c r="BB33" i="3" s="1"/>
  <c r="AD79" i="7"/>
  <c r="AD15" i="7" s="1"/>
  <c r="AD67" i="7"/>
  <c r="Z10" i="7"/>
  <c r="Z18" i="7"/>
  <c r="O119" i="7"/>
  <c r="O20" i="7"/>
  <c r="O113" i="7"/>
  <c r="AA19" i="7"/>
  <c r="AA75" i="7"/>
  <c r="AA14" i="7" s="1"/>
  <c r="AA81" i="7"/>
  <c r="AA16" i="7" s="1"/>
  <c r="AA64" i="7"/>
  <c r="AA66" i="7" s="1"/>
  <c r="AE79" i="7"/>
  <c r="AE15" i="7" s="1"/>
  <c r="AE67" i="7"/>
  <c r="U65" i="7"/>
  <c r="U76" i="7"/>
  <c r="U80" i="7"/>
  <c r="U17" i="7" s="1"/>
  <c r="E25" i="3"/>
  <c r="P25" i="3" s="1"/>
  <c r="BI13" i="3"/>
  <c r="X80" i="7"/>
  <c r="X17" i="7" s="1"/>
  <c r="X65" i="7"/>
  <c r="X76" i="7"/>
  <c r="V18" i="7"/>
  <c r="AF18" i="7" s="1"/>
  <c r="V10" i="7"/>
  <c r="V7" i="7" s="1"/>
  <c r="K14" i="7"/>
  <c r="H26" i="7"/>
  <c r="AI33" i="3"/>
  <c r="AT33" i="3" s="1"/>
  <c r="AT31" i="3"/>
  <c r="H14" i="7"/>
  <c r="U25" i="7"/>
  <c r="AR81" i="7"/>
  <c r="AR16" i="7" s="1"/>
  <c r="AR75" i="7"/>
  <c r="AR64" i="7"/>
  <c r="AR66" i="7" s="1"/>
  <c r="AQ19" i="7"/>
  <c r="AQ75" i="7"/>
  <c r="AQ14" i="7" s="1"/>
  <c r="AQ7" i="7"/>
  <c r="AQ81" i="7"/>
  <c r="AQ16" i="7" s="1"/>
  <c r="AQ64" i="7"/>
  <c r="AQ66" i="7" s="1"/>
  <c r="G120" i="7"/>
  <c r="G12" i="7"/>
  <c r="G13" i="7" s="1"/>
  <c r="N119" i="7"/>
  <c r="N113" i="7"/>
  <c r="N20" i="7"/>
  <c r="AD75" i="7"/>
  <c r="AD14" i="7" s="1"/>
  <c r="AD19" i="7" s="1"/>
  <c r="AD81" i="7"/>
  <c r="AD16" i="7" s="1"/>
  <c r="AD64" i="7"/>
  <c r="AD66" i="7" s="1"/>
  <c r="Q7" i="7"/>
  <c r="E119" i="7"/>
  <c r="E113" i="7"/>
  <c r="I26" i="7"/>
  <c r="F79" i="7"/>
  <c r="F15" i="7" s="1"/>
  <c r="F67" i="7"/>
  <c r="W10" i="7"/>
  <c r="W18" i="7"/>
  <c r="W26" i="7"/>
  <c r="AR9" i="7"/>
  <c r="BF32" i="3"/>
  <c r="BF34" i="3" s="1"/>
  <c r="N26" i="7"/>
  <c r="Q64" i="7"/>
  <c r="F66" i="7"/>
  <c r="Q66" i="7" s="1"/>
  <c r="F119" i="7"/>
  <c r="F113" i="7"/>
  <c r="F20" i="7"/>
  <c r="J14" i="7"/>
  <c r="AC26" i="7"/>
  <c r="AT80" i="7"/>
  <c r="AT17" i="7" s="1"/>
  <c r="AT65" i="7"/>
  <c r="AT76" i="7"/>
  <c r="E79" i="7"/>
  <c r="Q65" i="7"/>
  <c r="E67" i="7"/>
  <c r="H79" i="7"/>
  <c r="H15" i="7" s="1"/>
  <c r="H67" i="7"/>
  <c r="M20" i="7"/>
  <c r="M12" i="7" s="1"/>
  <c r="Y75" i="7"/>
  <c r="Y14" i="7" s="1"/>
  <c r="Y81" i="7"/>
  <c r="Y16" i="7" s="1"/>
  <c r="Y64" i="7"/>
  <c r="Y66" i="7" s="1"/>
  <c r="Z75" i="7"/>
  <c r="Z14" i="7" s="1"/>
  <c r="Z19" i="7"/>
  <c r="Z81" i="7"/>
  <c r="Z16" i="7" s="1"/>
  <c r="Z7" i="7"/>
  <c r="Z64" i="7"/>
  <c r="Z66" i="7" s="1"/>
  <c r="O120" i="7"/>
  <c r="O12" i="7"/>
  <c r="O13" i="7" s="1"/>
  <c r="BD28" i="3"/>
  <c r="AP8" i="7"/>
  <c r="BD31" i="3"/>
  <c r="BD33" i="3" s="1"/>
  <c r="AT32" i="3"/>
  <c r="AH34" i="3"/>
  <c r="AT34" i="3" s="1"/>
  <c r="AI9" i="7"/>
  <c r="BI27" i="3"/>
  <c r="U61" i="3" s="1"/>
  <c r="AW25" i="3"/>
  <c r="AW32" i="3"/>
  <c r="P31" i="3"/>
  <c r="E33" i="3"/>
  <c r="P33" i="3" s="1"/>
  <c r="V75" i="7"/>
  <c r="V14" i="7" s="1"/>
  <c r="V81" i="7"/>
  <c r="V16" i="7" s="1"/>
  <c r="V64" i="7"/>
  <c r="V66" i="7" s="1"/>
  <c r="Y10" i="7"/>
  <c r="Y7" i="7" s="1"/>
  <c r="Y18" i="7"/>
  <c r="Q87" i="7"/>
  <c r="B88" i="7" s="1"/>
  <c r="E25" i="7"/>
  <c r="AE10" i="7"/>
  <c r="AE7" i="7" s="1"/>
  <c r="AE18" i="7"/>
  <c r="T80" i="7"/>
  <c r="T65" i="7"/>
  <c r="T7" i="7"/>
  <c r="T76" i="7"/>
  <c r="AF9" i="7"/>
  <c r="Y65" i="7"/>
  <c r="Y76" i="7"/>
  <c r="Y80" i="7"/>
  <c r="Y17" i="7" s="1"/>
  <c r="AJ9" i="7"/>
  <c r="AX32" i="3"/>
  <c r="AX34" i="3" s="1"/>
  <c r="AM9" i="7"/>
  <c r="BA25" i="3"/>
  <c r="BA32" i="3"/>
  <c r="BA34" i="3" s="1"/>
  <c r="BA10" i="7"/>
  <c r="AT28" i="3"/>
  <c r="K119" i="7"/>
  <c r="K113" i="7"/>
  <c r="X119" i="7"/>
  <c r="X113" i="7"/>
  <c r="K26" i="7"/>
  <c r="U10" i="7"/>
  <c r="U7" i="7" s="1"/>
  <c r="U18" i="7"/>
  <c r="AJ8" i="7"/>
  <c r="AX28" i="3"/>
  <c r="AX25" i="3" s="1"/>
  <c r="BI26" i="3"/>
  <c r="U59" i="3" s="1"/>
  <c r="AX31" i="3"/>
  <c r="I119" i="7"/>
  <c r="I121" i="7" s="1"/>
  <c r="I116" i="7" s="1"/>
  <c r="I113" i="7"/>
  <c r="I20" i="7"/>
  <c r="BF25" i="3"/>
  <c r="G119" i="7"/>
  <c r="G121" i="7" s="1"/>
  <c r="G116" i="7" s="1"/>
  <c r="G20" i="7"/>
  <c r="G113" i="7"/>
  <c r="BG28" i="3"/>
  <c r="BG25" i="3" s="1"/>
  <c r="AS8" i="7"/>
  <c r="BG31" i="3"/>
  <c r="BG33" i="3" s="1"/>
  <c r="N79" i="7"/>
  <c r="N15" i="7" s="1"/>
  <c r="N120" i="7" s="1"/>
  <c r="N67" i="7"/>
  <c r="J79" i="7"/>
  <c r="J15" i="7" s="1"/>
  <c r="J20" i="7" s="1"/>
  <c r="J67" i="7"/>
  <c r="AL8" i="7"/>
  <c r="AZ28" i="3"/>
  <c r="AZ25" i="3"/>
  <c r="AZ31" i="3"/>
  <c r="AZ33" i="3" s="1"/>
  <c r="AC14" i="7"/>
  <c r="N12" i="7"/>
  <c r="N13" i="7" s="1"/>
  <c r="Q75" i="7"/>
  <c r="AA79" i="7"/>
  <c r="AA15" i="7" s="1"/>
  <c r="AA67" i="7"/>
  <c r="AL25" i="7"/>
  <c r="F16" i="7"/>
  <c r="Q16" i="7" s="1"/>
  <c r="BA16" i="7" s="1"/>
  <c r="Q81" i="7"/>
  <c r="J113" i="7"/>
  <c r="J119" i="7"/>
  <c r="L19" i="7"/>
  <c r="P119" i="7"/>
  <c r="P121" i="7" s="1"/>
  <c r="P116" i="7" s="1"/>
  <c r="P20" i="7"/>
  <c r="P113" i="7"/>
  <c r="P22" i="7"/>
  <c r="BA9" i="7"/>
  <c r="Q76" i="7"/>
  <c r="J26" i="7"/>
  <c r="M121" i="7"/>
  <c r="M116" i="7" s="1"/>
  <c r="M120" i="7"/>
  <c r="AM25" i="3"/>
  <c r="AO8" i="7"/>
  <c r="BC28" i="3"/>
  <c r="BC31" i="3"/>
  <c r="BC33" i="3" s="1"/>
  <c r="AA10" i="7"/>
  <c r="AA7" i="7" s="1"/>
  <c r="AA18" i="7"/>
  <c r="AI93" i="7"/>
  <c r="T87" i="7"/>
  <c r="AF93" i="7"/>
  <c r="BH28" i="3"/>
  <c r="BH25" i="3" s="1"/>
  <c r="AT8" i="7"/>
  <c r="BH31" i="3"/>
  <c r="BH33" i="3" s="1"/>
  <c r="AN9" i="7"/>
  <c r="BB32" i="3"/>
  <c r="BB34" i="3" s="1"/>
  <c r="BI11" i="3"/>
  <c r="AY28" i="3"/>
  <c r="AY25" i="3" s="1"/>
  <c r="AK8" i="7"/>
  <c r="AY31" i="3"/>
  <c r="AY33" i="3" s="1"/>
  <c r="AQ93" i="7"/>
  <c r="AQ87" i="7" s="1"/>
  <c r="AQ25" i="7" s="1"/>
  <c r="AQ26" i="7" s="1"/>
  <c r="AB87" i="7"/>
  <c r="AB25" i="7" s="1"/>
  <c r="AB26" i="7" s="1"/>
  <c r="AB120" i="7"/>
  <c r="X14" i="7"/>
  <c r="AI25" i="3"/>
  <c r="AT25" i="3" s="1"/>
  <c r="I120" i="7"/>
  <c r="I12" i="7"/>
  <c r="I13" i="7" s="1"/>
  <c r="BE25" i="3"/>
  <c r="G19" i="7"/>
  <c r="AD18" i="7"/>
  <c r="AD10" i="7"/>
  <c r="AD7" i="7" s="1"/>
  <c r="AP80" i="7"/>
  <c r="AP17" i="7" s="1"/>
  <c r="AP65" i="7"/>
  <c r="AP76" i="7"/>
  <c r="AI66" i="7"/>
  <c r="W75" i="7"/>
  <c r="W14" i="7" s="1"/>
  <c r="W7" i="7"/>
  <c r="W81" i="7"/>
  <c r="W16" i="7" s="1"/>
  <c r="W64" i="7"/>
  <c r="W66" i="7" s="1"/>
  <c r="AC19" i="7"/>
  <c r="E14" i="7"/>
  <c r="W80" i="7"/>
  <c r="W17" i="7" s="1"/>
  <c r="W65" i="7"/>
  <c r="W76" i="7"/>
  <c r="L119" i="7"/>
  <c r="L20" i="7"/>
  <c r="L113" i="7"/>
  <c r="P120" i="7"/>
  <c r="P12" i="7"/>
  <c r="P13" i="7" s="1"/>
  <c r="AA119" i="7" l="1"/>
  <c r="AA113" i="7"/>
  <c r="AA20" i="7"/>
  <c r="AA12" i="7" s="1"/>
  <c r="AA22" i="7" s="1"/>
  <c r="AA26" i="7"/>
  <c r="U119" i="7"/>
  <c r="U113" i="7"/>
  <c r="AE119" i="7"/>
  <c r="AE121" i="7" s="1"/>
  <c r="AE116" i="7" s="1"/>
  <c r="AE113" i="7"/>
  <c r="AE20" i="7"/>
  <c r="AE26" i="7"/>
  <c r="Y119" i="7"/>
  <c r="Y113" i="7"/>
  <c r="Y26" i="7"/>
  <c r="AX18" i="7"/>
  <c r="AB28" i="7"/>
  <c r="AB23" i="7"/>
  <c r="AD119" i="7"/>
  <c r="AD113" i="7"/>
  <c r="AD20" i="7"/>
  <c r="AD26" i="7"/>
  <c r="V20" i="7"/>
  <c r="V119" i="7"/>
  <c r="V113" i="7"/>
  <c r="V26" i="7"/>
  <c r="M13" i="7"/>
  <c r="M22" i="7"/>
  <c r="W79" i="7"/>
  <c r="W15" i="7" s="1"/>
  <c r="W67" i="7"/>
  <c r="W120" i="7"/>
  <c r="AJ65" i="7"/>
  <c r="AJ80" i="7"/>
  <c r="AJ17" i="7" s="1"/>
  <c r="AJ76" i="7"/>
  <c r="T79" i="7"/>
  <c r="T67" i="7"/>
  <c r="AF65" i="7"/>
  <c r="AX65" i="7" s="1"/>
  <c r="D117" i="7"/>
  <c r="AL80" i="7"/>
  <c r="AL17" i="7" s="1"/>
  <c r="AL65" i="7"/>
  <c r="AL76" i="7"/>
  <c r="AF64" i="7"/>
  <c r="AX64" i="7" s="1"/>
  <c r="U66" i="7"/>
  <c r="AF66" i="7" s="1"/>
  <c r="AX66" i="7" s="1"/>
  <c r="U14" i="7"/>
  <c r="AF75" i="7"/>
  <c r="AX9" i="7"/>
  <c r="B89" i="7"/>
  <c r="E15" i="7"/>
  <c r="Q15" i="7" s="1"/>
  <c r="BA15" i="7" s="1"/>
  <c r="Q79" i="7"/>
  <c r="AQ20" i="7"/>
  <c r="AQ12" i="7" s="1"/>
  <c r="AQ22" i="7" s="1"/>
  <c r="AQ119" i="7"/>
  <c r="AQ113" i="7"/>
  <c r="U26" i="7"/>
  <c r="U79" i="7"/>
  <c r="U15" i="7" s="1"/>
  <c r="U67" i="7"/>
  <c r="AN75" i="7"/>
  <c r="AN81" i="7"/>
  <c r="AN16" i="7" s="1"/>
  <c r="AN64" i="7"/>
  <c r="AN66" i="7" s="1"/>
  <c r="F120" i="7"/>
  <c r="F12" i="7"/>
  <c r="F19" i="7"/>
  <c r="F114" i="7" s="1"/>
  <c r="F115" i="7" s="1"/>
  <c r="F117" i="7" s="1"/>
  <c r="AB121" i="7"/>
  <c r="AB116" i="7" s="1"/>
  <c r="L121" i="7"/>
  <c r="L116" i="7" s="1"/>
  <c r="AP79" i="7"/>
  <c r="AP15" i="7" s="1"/>
  <c r="AP67" i="7"/>
  <c r="X12" i="7"/>
  <c r="X22" i="7" s="1"/>
  <c r="AF87" i="7"/>
  <c r="T25" i="7"/>
  <c r="AL10" i="7"/>
  <c r="AL18" i="7"/>
  <c r="I22" i="7"/>
  <c r="AJ75" i="7"/>
  <c r="AJ81" i="7"/>
  <c r="AU8" i="7"/>
  <c r="AJ64" i="7"/>
  <c r="AM80" i="7"/>
  <c r="AM17" i="7" s="1"/>
  <c r="AM76" i="7"/>
  <c r="AM14" i="7" s="1"/>
  <c r="AM65" i="7"/>
  <c r="AM7" i="7"/>
  <c r="AM26" i="7" s="1"/>
  <c r="AM19" i="7"/>
  <c r="AF76" i="7"/>
  <c r="T14" i="7"/>
  <c r="U62" i="3"/>
  <c r="V61" i="3"/>
  <c r="V62" i="3" s="1"/>
  <c r="Z119" i="7"/>
  <c r="Z113" i="7"/>
  <c r="Z20" i="7"/>
  <c r="J120" i="7"/>
  <c r="J12" i="7"/>
  <c r="J19" i="7"/>
  <c r="J114" i="7" s="1"/>
  <c r="J115" i="7" s="1"/>
  <c r="J117" i="7" s="1"/>
  <c r="F121" i="7"/>
  <c r="F116" i="7" s="1"/>
  <c r="Q113" i="7"/>
  <c r="I104" i="7"/>
  <c r="I103" i="7" s="1"/>
  <c r="I31" i="7" s="1"/>
  <c r="M104" i="7"/>
  <c r="M103" i="7" s="1"/>
  <c r="M31" i="7" s="1"/>
  <c r="M32" i="7" s="1"/>
  <c r="F104" i="7"/>
  <c r="F103" i="7" s="1"/>
  <c r="F31" i="7" s="1"/>
  <c r="F32" i="7" s="1"/>
  <c r="H104" i="7"/>
  <c r="H103" i="7" s="1"/>
  <c r="H31" i="7" s="1"/>
  <c r="H32" i="7" s="1"/>
  <c r="K104" i="7"/>
  <c r="K103" i="7" s="1"/>
  <c r="K31" i="7" s="1"/>
  <c r="K32" i="7" s="1"/>
  <c r="L104" i="7"/>
  <c r="L103" i="7" s="1"/>
  <c r="L31" i="7" s="1"/>
  <c r="L32" i="7" s="1"/>
  <c r="J104" i="7"/>
  <c r="J103" i="7" s="1"/>
  <c r="J31" i="7" s="1"/>
  <c r="J32" i="7" s="1"/>
  <c r="G104" i="7"/>
  <c r="G103" i="7" s="1"/>
  <c r="G31" i="7" s="1"/>
  <c r="N104" i="7"/>
  <c r="N103" i="7" s="1"/>
  <c r="N31" i="7" s="1"/>
  <c r="P104" i="7"/>
  <c r="P103" i="7" s="1"/>
  <c r="P31" i="7" s="1"/>
  <c r="B87" i="7"/>
  <c r="BA7" i="7"/>
  <c r="E104" i="7"/>
  <c r="O104" i="7"/>
  <c r="O103" i="7" s="1"/>
  <c r="O31" i="7" s="1"/>
  <c r="AQ120" i="7"/>
  <c r="H120" i="7"/>
  <c r="H114" i="7"/>
  <c r="H115" i="7" s="1"/>
  <c r="H117" i="7" s="1"/>
  <c r="H12" i="7"/>
  <c r="H19" i="7"/>
  <c r="X19" i="7"/>
  <c r="AA120" i="7"/>
  <c r="O22" i="7"/>
  <c r="BA18" i="7"/>
  <c r="M114" i="7"/>
  <c r="M115" i="7" s="1"/>
  <c r="M117" i="7" s="1"/>
  <c r="L12" i="7"/>
  <c r="BA8" i="7"/>
  <c r="H121" i="7"/>
  <c r="H116" i="7" s="1"/>
  <c r="U16" i="7"/>
  <c r="AF16" i="7" s="1"/>
  <c r="AF81" i="7"/>
  <c r="AF10" i="7"/>
  <c r="Z26" i="7"/>
  <c r="AK10" i="7"/>
  <c r="AK18" i="7"/>
  <c r="AT10" i="7"/>
  <c r="AT18" i="7"/>
  <c r="AO10" i="7"/>
  <c r="AO18" i="7"/>
  <c r="P28" i="7"/>
  <c r="P23" i="7"/>
  <c r="J121" i="7"/>
  <c r="J116" i="7" s="1"/>
  <c r="AS18" i="7"/>
  <c r="AS10" i="7"/>
  <c r="U60" i="3"/>
  <c r="V59" i="3"/>
  <c r="Q25" i="7"/>
  <c r="Q26" i="7" s="1"/>
  <c r="E26" i="7"/>
  <c r="V120" i="7"/>
  <c r="AW34" i="3"/>
  <c r="BI34" i="3" s="1"/>
  <c r="BI32" i="3"/>
  <c r="AP75" i="7"/>
  <c r="AP14" i="7" s="1"/>
  <c r="AP19" i="7" s="1"/>
  <c r="AP81" i="7"/>
  <c r="AP16" i="7" s="1"/>
  <c r="AP64" i="7"/>
  <c r="AP66" i="7" s="1"/>
  <c r="N22" i="7"/>
  <c r="O121" i="7"/>
  <c r="O116" i="7" s="1"/>
  <c r="AN18" i="7"/>
  <c r="AN10" i="7"/>
  <c r="AN7" i="7" s="1"/>
  <c r="AE120" i="7"/>
  <c r="AE12" i="7"/>
  <c r="AE22" i="7" s="1"/>
  <c r="W19" i="7"/>
  <c r="W12" i="7" s="1"/>
  <c r="W22" i="7" s="1"/>
  <c r="AO7" i="7"/>
  <c r="AO19" i="7"/>
  <c r="AO81" i="7"/>
  <c r="AO16" i="7" s="1"/>
  <c r="AO75" i="7"/>
  <c r="AO14" i="7" s="1"/>
  <c r="AO64" i="7"/>
  <c r="AO66" i="7" s="1"/>
  <c r="G22" i="7"/>
  <c r="AJ18" i="7"/>
  <c r="AJ10" i="7"/>
  <c r="AU10" i="7" s="1"/>
  <c r="BI28" i="3"/>
  <c r="K121" i="7"/>
  <c r="K116" i="7" s="1"/>
  <c r="AF80" i="7"/>
  <c r="T17" i="7"/>
  <c r="AF17" i="7" s="1"/>
  <c r="AP10" i="7"/>
  <c r="AP7" i="7" s="1"/>
  <c r="AP18" i="7"/>
  <c r="Z120" i="7"/>
  <c r="Z12" i="7"/>
  <c r="Z22" i="7" s="1"/>
  <c r="Q119" i="7"/>
  <c r="E120" i="7"/>
  <c r="Q120" i="7" s="1"/>
  <c r="Q14" i="7"/>
  <c r="BA14" i="7" s="1"/>
  <c r="E19" i="7"/>
  <c r="W113" i="7"/>
  <c r="W119" i="7"/>
  <c r="W20" i="7"/>
  <c r="AK75" i="7"/>
  <c r="AK14" i="7" s="1"/>
  <c r="AK81" i="7"/>
  <c r="AK16" i="7" s="1"/>
  <c r="AK7" i="7"/>
  <c r="AK19" i="7"/>
  <c r="AK64" i="7"/>
  <c r="AK66" i="7" s="1"/>
  <c r="AN65" i="7"/>
  <c r="AN80" i="7"/>
  <c r="AN17" i="7" s="1"/>
  <c r="AN76" i="7"/>
  <c r="AT75" i="7"/>
  <c r="AT14" i="7" s="1"/>
  <c r="AT19" i="7"/>
  <c r="AT81" i="7"/>
  <c r="AT16" i="7" s="1"/>
  <c r="AT7" i="7"/>
  <c r="AT64" i="7"/>
  <c r="AT66" i="7" s="1"/>
  <c r="AI87" i="7"/>
  <c r="AU93" i="7"/>
  <c r="BC25" i="3"/>
  <c r="AL75" i="7"/>
  <c r="AL14" i="7" s="1"/>
  <c r="AL81" i="7"/>
  <c r="AL16" i="7" s="1"/>
  <c r="AL7" i="7"/>
  <c r="AL26" i="7" s="1"/>
  <c r="AL19" i="7"/>
  <c r="AL64" i="7"/>
  <c r="AL66" i="7" s="1"/>
  <c r="AS7" i="7"/>
  <c r="AS75" i="7"/>
  <c r="AS14" i="7" s="1"/>
  <c r="AS81" i="7"/>
  <c r="AS16" i="7" s="1"/>
  <c r="AS64" i="7"/>
  <c r="AS66" i="7" s="1"/>
  <c r="AX33" i="3"/>
  <c r="BI33" i="3" s="1"/>
  <c r="BI31" i="3"/>
  <c r="Y79" i="7"/>
  <c r="Y15" i="7" s="1"/>
  <c r="Y67" i="7"/>
  <c r="AF7" i="7"/>
  <c r="T119" i="7"/>
  <c r="T113" i="7"/>
  <c r="V19" i="7"/>
  <c r="AI80" i="7"/>
  <c r="AI65" i="7"/>
  <c r="AI76" i="7"/>
  <c r="AU9" i="7"/>
  <c r="AI7" i="7"/>
  <c r="BD25" i="3"/>
  <c r="BI25" i="3" s="1"/>
  <c r="Y19" i="7"/>
  <c r="Q67" i="7"/>
  <c r="AT79" i="7"/>
  <c r="AT15" i="7" s="1"/>
  <c r="AT67" i="7"/>
  <c r="AR80" i="7"/>
  <c r="AR17" i="7" s="1"/>
  <c r="AR65" i="7"/>
  <c r="AR76" i="7"/>
  <c r="AR14" i="7" s="1"/>
  <c r="E20" i="7"/>
  <c r="Q20" i="7" s="1"/>
  <c r="BA20" i="7" s="1"/>
  <c r="AD120" i="7"/>
  <c r="AD12" i="7"/>
  <c r="AD22" i="7" s="1"/>
  <c r="N121" i="7"/>
  <c r="N116" i="7" s="1"/>
  <c r="AR7" i="7"/>
  <c r="K120" i="7"/>
  <c r="K114" i="7"/>
  <c r="K115" i="7" s="1"/>
  <c r="K117" i="7" s="1"/>
  <c r="K12" i="7"/>
  <c r="K19" i="7"/>
  <c r="X79" i="7"/>
  <c r="X15" i="7" s="1"/>
  <c r="X20" i="7" s="1"/>
  <c r="X67" i="7"/>
  <c r="AC79" i="7"/>
  <c r="AC15" i="7" s="1"/>
  <c r="AC20" i="7" s="1"/>
  <c r="AC67" i="7"/>
  <c r="AX8" i="7"/>
  <c r="BB8" i="7"/>
  <c r="Y114" i="7" l="1"/>
  <c r="Y115" i="7" s="1"/>
  <c r="AE28" i="7"/>
  <c r="AE23" i="7"/>
  <c r="J46" i="7"/>
  <c r="J124" i="7"/>
  <c r="AQ28" i="7"/>
  <c r="AQ23" i="7"/>
  <c r="H46" i="7"/>
  <c r="H124" i="7"/>
  <c r="AA28" i="7"/>
  <c r="AA23" i="7"/>
  <c r="AR19" i="7"/>
  <c r="AP20" i="7"/>
  <c r="AP12" i="7" s="1"/>
  <c r="AP22" i="7" s="1"/>
  <c r="AP119" i="7"/>
  <c r="AP113" i="7"/>
  <c r="AP26" i="7"/>
  <c r="AN113" i="7"/>
  <c r="AN119" i="7"/>
  <c r="AN26" i="7"/>
  <c r="F46" i="7"/>
  <c r="F124" i="7"/>
  <c r="K46" i="7"/>
  <c r="K124" i="7"/>
  <c r="AD28" i="7"/>
  <c r="AD23" i="7"/>
  <c r="V114" i="7"/>
  <c r="V115" i="7" s="1"/>
  <c r="V117" i="7" s="1"/>
  <c r="Z28" i="7"/>
  <c r="Z23" i="7"/>
  <c r="W28" i="7"/>
  <c r="W23" i="7"/>
  <c r="K13" i="7"/>
  <c r="K22" i="7"/>
  <c r="AU76" i="7"/>
  <c r="AI14" i="7"/>
  <c r="V104" i="7"/>
  <c r="V103" i="7" s="1"/>
  <c r="V31" i="7" s="1"/>
  <c r="V32" i="7" s="1"/>
  <c r="X104" i="7"/>
  <c r="X103" i="7" s="1"/>
  <c r="X31" i="7" s="1"/>
  <c r="X32" i="7" s="1"/>
  <c r="U104" i="7"/>
  <c r="U103" i="7" s="1"/>
  <c r="U31" i="7" s="1"/>
  <c r="U32" i="7" s="1"/>
  <c r="AD104" i="7"/>
  <c r="AD103" i="7" s="1"/>
  <c r="AD31" i="7" s="1"/>
  <c r="AD32" i="7" s="1"/>
  <c r="AE104" i="7"/>
  <c r="AE103" i="7" s="1"/>
  <c r="AE31" i="7" s="1"/>
  <c r="Y104" i="7"/>
  <c r="Y103" i="7" s="1"/>
  <c r="Y31" i="7" s="1"/>
  <c r="Y32" i="7" s="1"/>
  <c r="T104" i="7"/>
  <c r="Z104" i="7"/>
  <c r="Z103" i="7" s="1"/>
  <c r="Z31" i="7" s="1"/>
  <c r="AA104" i="7"/>
  <c r="AA103" i="7" s="1"/>
  <c r="AA31" i="7" s="1"/>
  <c r="W104" i="7"/>
  <c r="W103" i="7" s="1"/>
  <c r="W31" i="7" s="1"/>
  <c r="W32" i="7" s="1"/>
  <c r="AB104" i="7"/>
  <c r="AB103" i="7" s="1"/>
  <c r="AB31" i="7" s="1"/>
  <c r="AC104" i="7"/>
  <c r="AC103" i="7" s="1"/>
  <c r="AC31" i="7" s="1"/>
  <c r="AC32" i="7" s="1"/>
  <c r="BB7" i="7"/>
  <c r="R87" i="7"/>
  <c r="AX7" i="7"/>
  <c r="AS120" i="7"/>
  <c r="AC12" i="7"/>
  <c r="AC22" i="7" s="1"/>
  <c r="AK113" i="7"/>
  <c r="AK119" i="7"/>
  <c r="AK20" i="7"/>
  <c r="AK26" i="7"/>
  <c r="Q19" i="7"/>
  <c r="BA19" i="7" s="1"/>
  <c r="N23" i="7"/>
  <c r="N28" i="7"/>
  <c r="V12" i="7"/>
  <c r="V22" i="7" s="1"/>
  <c r="P41" i="7"/>
  <c r="P34" i="7"/>
  <c r="P29" i="7"/>
  <c r="M46" i="7"/>
  <c r="M124" i="7"/>
  <c r="H13" i="7"/>
  <c r="H22" i="7"/>
  <c r="E103" i="7"/>
  <c r="Q104" i="7"/>
  <c r="N32" i="7"/>
  <c r="N114" i="7"/>
  <c r="N115" i="7" s="1"/>
  <c r="N117" i="7" s="1"/>
  <c r="I32" i="7"/>
  <c r="I114" i="7"/>
  <c r="I115" i="7" s="1"/>
  <c r="I117" i="7" s="1"/>
  <c r="AJ7" i="7"/>
  <c r="AX87" i="7"/>
  <c r="R88" i="7"/>
  <c r="R89" i="7" s="1"/>
  <c r="AQ121" i="7"/>
  <c r="AQ116" i="7" s="1"/>
  <c r="U120" i="7"/>
  <c r="U12" i="7"/>
  <c r="U22" i="7" s="1"/>
  <c r="U19" i="7"/>
  <c r="U114" i="7" s="1"/>
  <c r="U115" i="7" s="1"/>
  <c r="U117" i="7" s="1"/>
  <c r="AF79" i="7"/>
  <c r="T15" i="7"/>
  <c r="W114" i="7"/>
  <c r="W115" i="7" s="1"/>
  <c r="W117" i="7" s="1"/>
  <c r="M28" i="7"/>
  <c r="M23" i="7"/>
  <c r="AI119" i="7"/>
  <c r="AU7" i="7"/>
  <c r="AI113" i="7"/>
  <c r="AS113" i="7"/>
  <c r="AS20" i="7"/>
  <c r="AS119" i="7"/>
  <c r="AS121" i="7" s="1"/>
  <c r="AS116" i="7" s="1"/>
  <c r="AS26" i="7"/>
  <c r="AC120" i="7"/>
  <c r="AC121" i="7" s="1"/>
  <c r="AC116" i="7" s="1"/>
  <c r="AN79" i="7"/>
  <c r="AN15" i="7" s="1"/>
  <c r="AN67" i="7"/>
  <c r="E12" i="7"/>
  <c r="BB17" i="7"/>
  <c r="AX17" i="7"/>
  <c r="BC10" i="7"/>
  <c r="AY10" i="7"/>
  <c r="AP120" i="7"/>
  <c r="BB10" i="7"/>
  <c r="AX10" i="7"/>
  <c r="G32" i="7"/>
  <c r="G114" i="7"/>
  <c r="G115" i="7" s="1"/>
  <c r="G117" i="7" s="1"/>
  <c r="J13" i="7"/>
  <c r="J22" i="7"/>
  <c r="AM119" i="7"/>
  <c r="AM113" i="7"/>
  <c r="AJ66" i="7"/>
  <c r="AU66" i="7" s="1"/>
  <c r="AY66" i="7" s="1"/>
  <c r="AU64" i="7"/>
  <c r="AY64" i="7" s="1"/>
  <c r="AJ14" i="7"/>
  <c r="AU75" i="7"/>
  <c r="X28" i="7"/>
  <c r="X23" i="7"/>
  <c r="F13" i="7"/>
  <c r="F22" i="7"/>
  <c r="D124" i="7"/>
  <c r="D46" i="7"/>
  <c r="V121" i="7"/>
  <c r="V116" i="7" s="1"/>
  <c r="AB34" i="7"/>
  <c r="AB29" i="7"/>
  <c r="AB41" i="7"/>
  <c r="U121" i="7"/>
  <c r="U116" i="7" s="1"/>
  <c r="AR79" i="7"/>
  <c r="AR15" i="7" s="1"/>
  <c r="AR120" i="7" s="1"/>
  <c r="AR67" i="7"/>
  <c r="AU80" i="7"/>
  <c r="AI17" i="7"/>
  <c r="AU17" i="7" s="1"/>
  <c r="AF113" i="7"/>
  <c r="AX113" i="7" s="1"/>
  <c r="AS19" i="7"/>
  <c r="AT120" i="7"/>
  <c r="AT12" i="7"/>
  <c r="AT22" i="7" s="1"/>
  <c r="AK120" i="7"/>
  <c r="AK12" i="7"/>
  <c r="AK22" i="7" s="1"/>
  <c r="W121" i="7"/>
  <c r="W116" i="7" s="1"/>
  <c r="E121" i="7"/>
  <c r="AU18" i="7"/>
  <c r="AO113" i="7"/>
  <c r="AO20" i="7"/>
  <c r="AO119" i="7"/>
  <c r="AO26" i="7"/>
  <c r="W59" i="3"/>
  <c r="W62" i="3" s="1"/>
  <c r="V60" i="3"/>
  <c r="O28" i="7"/>
  <c r="O23" i="7"/>
  <c r="T120" i="7"/>
  <c r="AF14" i="7"/>
  <c r="T19" i="7"/>
  <c r="AF19" i="7" s="1"/>
  <c r="AM79" i="7"/>
  <c r="AM15" i="7" s="1"/>
  <c r="AM20" i="7" s="1"/>
  <c r="AM67" i="7"/>
  <c r="BC8" i="7"/>
  <c r="AY8" i="7"/>
  <c r="X120" i="7"/>
  <c r="X121" i="7" s="1"/>
  <c r="X116" i="7" s="1"/>
  <c r="Y120" i="7"/>
  <c r="Y121" i="7" s="1"/>
  <c r="Y116" i="7" s="1"/>
  <c r="BB9" i="7"/>
  <c r="AL79" i="7"/>
  <c r="AL15" i="7" s="1"/>
  <c r="AL120" i="7" s="1"/>
  <c r="AL67" i="7"/>
  <c r="Y20" i="7"/>
  <c r="Y12" i="7" s="1"/>
  <c r="Y22" i="7" s="1"/>
  <c r="L114" i="7"/>
  <c r="L115" i="7" s="1"/>
  <c r="L117" i="7" s="1"/>
  <c r="U20" i="7"/>
  <c r="AI79" i="7"/>
  <c r="AU65" i="7"/>
  <c r="AY65" i="7" s="1"/>
  <c r="AI67" i="7"/>
  <c r="AL20" i="7"/>
  <c r="AL119" i="7"/>
  <c r="AL113" i="7"/>
  <c r="AI25" i="7"/>
  <c r="AU87" i="7"/>
  <c r="AR113" i="7"/>
  <c r="AR119" i="7"/>
  <c r="AR20" i="7"/>
  <c r="AR26" i="7"/>
  <c r="BC9" i="7"/>
  <c r="AY9" i="7"/>
  <c r="T121" i="7"/>
  <c r="AF119" i="7"/>
  <c r="AT20" i="7"/>
  <c r="AT119" i="7"/>
  <c r="AT121" i="7" s="1"/>
  <c r="AT116" i="7" s="1"/>
  <c r="AT113" i="7"/>
  <c r="AT26" i="7"/>
  <c r="G28" i="7"/>
  <c r="G23" i="7"/>
  <c r="AO120" i="7"/>
  <c r="AO12" i="7"/>
  <c r="AO22" i="7" s="1"/>
  <c r="BB16" i="7"/>
  <c r="AX16" i="7"/>
  <c r="L13" i="7"/>
  <c r="L22" i="7"/>
  <c r="O32" i="7"/>
  <c r="O114" i="7"/>
  <c r="O115" i="7" s="1"/>
  <c r="O117" i="7" s="1"/>
  <c r="P32" i="7"/>
  <c r="P114" i="7"/>
  <c r="P115" i="7" s="1"/>
  <c r="P117" i="7" s="1"/>
  <c r="Z121" i="7"/>
  <c r="Z116" i="7" s="1"/>
  <c r="AM120" i="7"/>
  <c r="AJ16" i="7"/>
  <c r="AU16" i="7" s="1"/>
  <c r="AU81" i="7"/>
  <c r="I28" i="7"/>
  <c r="I23" i="7"/>
  <c r="AF25" i="7"/>
  <c r="T26" i="7"/>
  <c r="X114" i="7"/>
  <c r="X115" i="7" s="1"/>
  <c r="X117" i="7" s="1"/>
  <c r="AN14" i="7"/>
  <c r="AF67" i="7"/>
  <c r="AX67" i="7" s="1"/>
  <c r="AJ79" i="7"/>
  <c r="AJ15" i="7" s="1"/>
  <c r="AJ67" i="7"/>
  <c r="AD121" i="7"/>
  <c r="AD116" i="7" s="1"/>
  <c r="BB18" i="7"/>
  <c r="AA121" i="7"/>
  <c r="AA116" i="7" s="1"/>
  <c r="AM12" i="7" l="1"/>
  <c r="AM22" i="7" s="1"/>
  <c r="AO28" i="7"/>
  <c r="AO23" i="7"/>
  <c r="U46" i="7"/>
  <c r="R124" i="7"/>
  <c r="W46" i="7"/>
  <c r="T124" i="7"/>
  <c r="V46" i="7"/>
  <c r="S124" i="7"/>
  <c r="AT28" i="7"/>
  <c r="AT23" i="7"/>
  <c r="Y23" i="7"/>
  <c r="Y28" i="7"/>
  <c r="AK28" i="7"/>
  <c r="AK23" i="7"/>
  <c r="AP28" i="7"/>
  <c r="AP23" i="7"/>
  <c r="Y117" i="7"/>
  <c r="AN120" i="7"/>
  <c r="AN19" i="7"/>
  <c r="AN12" i="7" s="1"/>
  <c r="AN22" i="7" s="1"/>
  <c r="BB14" i="7"/>
  <c r="AX14" i="7"/>
  <c r="E31" i="7"/>
  <c r="Q103" i="7"/>
  <c r="Z32" i="7"/>
  <c r="Z114" i="7"/>
  <c r="Z115" i="7" s="1"/>
  <c r="Z117" i="7" s="1"/>
  <c r="AI120" i="7"/>
  <c r="AU14" i="7"/>
  <c r="AI19" i="7"/>
  <c r="L46" i="7"/>
  <c r="L124" i="7"/>
  <c r="BB19" i="7"/>
  <c r="AX19" i="7"/>
  <c r="AF120" i="7"/>
  <c r="AO121" i="7"/>
  <c r="AO116" i="7" s="1"/>
  <c r="E116" i="7"/>
  <c r="Q116" i="7" s="1"/>
  <c r="Q121" i="7"/>
  <c r="AB35" i="7"/>
  <c r="AB39" i="7"/>
  <c r="X41" i="7"/>
  <c r="X34" i="7"/>
  <c r="X29" i="7"/>
  <c r="AP114" i="7"/>
  <c r="AP115" i="7" s="1"/>
  <c r="AP117" i="7" s="1"/>
  <c r="AJ119" i="7"/>
  <c r="AJ113" i="7"/>
  <c r="AJ20" i="7"/>
  <c r="AJ26" i="7"/>
  <c r="P35" i="7"/>
  <c r="P39" i="7"/>
  <c r="AS12" i="7"/>
  <c r="AS22" i="7" s="1"/>
  <c r="K28" i="7"/>
  <c r="K23" i="7"/>
  <c r="AD41" i="7"/>
  <c r="AD34" i="7"/>
  <c r="AD29" i="7"/>
  <c r="F47" i="7"/>
  <c r="F50" i="7"/>
  <c r="AN20" i="7"/>
  <c r="AR12" i="7"/>
  <c r="AR22" i="7" s="1"/>
  <c r="AA41" i="7"/>
  <c r="AA34" i="7"/>
  <c r="AA29" i="7"/>
  <c r="L28" i="7"/>
  <c r="L23" i="7"/>
  <c r="Q12" i="7"/>
  <c r="BA12" i="7" s="1"/>
  <c r="E13" i="7"/>
  <c r="E22" i="7"/>
  <c r="AI121" i="7"/>
  <c r="AU119" i="7"/>
  <c r="U28" i="7"/>
  <c r="U23" i="7"/>
  <c r="V28" i="7"/>
  <c r="V23" i="7"/>
  <c r="O46" i="7"/>
  <c r="O124" i="7"/>
  <c r="AX25" i="7"/>
  <c r="AF26" i="7"/>
  <c r="BC16" i="7"/>
  <c r="AY16" i="7"/>
  <c r="AL12" i="7"/>
  <c r="AL22" i="7" s="1"/>
  <c r="T116" i="7"/>
  <c r="AF116" i="7" s="1"/>
  <c r="AF121" i="7"/>
  <c r="AG88" i="7"/>
  <c r="AG89" i="7" s="1"/>
  <c r="AY87" i="7"/>
  <c r="AL121" i="7"/>
  <c r="AL116" i="7" s="1"/>
  <c r="AI15" i="7"/>
  <c r="AU15" i="7" s="1"/>
  <c r="AU79" i="7"/>
  <c r="T12" i="7"/>
  <c r="AC114" i="7"/>
  <c r="AC115" i="7" s="1"/>
  <c r="AC117" i="7" s="1"/>
  <c r="BC17" i="7"/>
  <c r="AY17" i="7"/>
  <c r="F28" i="7"/>
  <c r="F23" i="7"/>
  <c r="J28" i="7"/>
  <c r="J23" i="7"/>
  <c r="AN104" i="7"/>
  <c r="AN103" i="7" s="1"/>
  <c r="AN31" i="7" s="1"/>
  <c r="AN32" i="7" s="1"/>
  <c r="AR104" i="7"/>
  <c r="AR103" i="7" s="1"/>
  <c r="AR31" i="7" s="1"/>
  <c r="AR32" i="7" s="1"/>
  <c r="AJ104" i="7"/>
  <c r="AJ103" i="7" s="1"/>
  <c r="AJ31" i="7" s="1"/>
  <c r="AJ32" i="7" s="1"/>
  <c r="AM104" i="7"/>
  <c r="AM103" i="7" s="1"/>
  <c r="AM31" i="7" s="1"/>
  <c r="AM32" i="7" s="1"/>
  <c r="AQ104" i="7"/>
  <c r="AQ103" i="7" s="1"/>
  <c r="AQ31" i="7" s="1"/>
  <c r="AI104" i="7"/>
  <c r="AO104" i="7"/>
  <c r="AO103" i="7" s="1"/>
  <c r="AO31" i="7" s="1"/>
  <c r="AP104" i="7"/>
  <c r="AP103" i="7" s="1"/>
  <c r="AP31" i="7" s="1"/>
  <c r="AP32" i="7" s="1"/>
  <c r="AL104" i="7"/>
  <c r="AL103" i="7" s="1"/>
  <c r="AL31" i="7" s="1"/>
  <c r="AS104" i="7"/>
  <c r="AS103" i="7" s="1"/>
  <c r="AS31" i="7" s="1"/>
  <c r="AS32" i="7" s="1"/>
  <c r="AK104" i="7"/>
  <c r="AK103" i="7" s="1"/>
  <c r="AK31" i="7" s="1"/>
  <c r="AT104" i="7"/>
  <c r="AT103" i="7" s="1"/>
  <c r="AT31" i="7" s="1"/>
  <c r="AT32" i="7" s="1"/>
  <c r="BC7" i="7"/>
  <c r="AY7" i="7"/>
  <c r="AG87" i="7"/>
  <c r="M34" i="7"/>
  <c r="M41" i="7"/>
  <c r="M29" i="7"/>
  <c r="I46" i="7"/>
  <c r="I124" i="7"/>
  <c r="AK121" i="7"/>
  <c r="AK116" i="7" s="1"/>
  <c r="AA32" i="7"/>
  <c r="AA114" i="7"/>
  <c r="AA115" i="7" s="1"/>
  <c r="AA117" i="7" s="1"/>
  <c r="AE32" i="7"/>
  <c r="AE114" i="7"/>
  <c r="AE115" i="7" s="1"/>
  <c r="AE117" i="7" s="1"/>
  <c r="Z41" i="7"/>
  <c r="Z34" i="7"/>
  <c r="Z29" i="7"/>
  <c r="AP121" i="7"/>
  <c r="AP116" i="7" s="1"/>
  <c r="AD114" i="7"/>
  <c r="AD115" i="7" s="1"/>
  <c r="AD117" i="7" s="1"/>
  <c r="AQ41" i="7"/>
  <c r="AQ29" i="7"/>
  <c r="AE41" i="7"/>
  <c r="AE34" i="7"/>
  <c r="AE29" i="7"/>
  <c r="P124" i="7"/>
  <c r="P46" i="7"/>
  <c r="G41" i="7"/>
  <c r="G29" i="7"/>
  <c r="G34" i="7"/>
  <c r="AI26" i="7"/>
  <c r="AU25" i="7"/>
  <c r="D48" i="7"/>
  <c r="D47" i="7"/>
  <c r="D50" i="7"/>
  <c r="AJ120" i="7"/>
  <c r="AJ19" i="7"/>
  <c r="AJ114" i="7" s="1"/>
  <c r="M47" i="7"/>
  <c r="M50" i="7"/>
  <c r="K47" i="7"/>
  <c r="K50" i="7"/>
  <c r="X46" i="7"/>
  <c r="U124" i="7"/>
  <c r="I34" i="7"/>
  <c r="I41" i="7"/>
  <c r="I29" i="7"/>
  <c r="AR121" i="7"/>
  <c r="AR116" i="7" s="1"/>
  <c r="AU67" i="7"/>
  <c r="AY67" i="7" s="1"/>
  <c r="O41" i="7"/>
  <c r="O34" i="7"/>
  <c r="O29" i="7"/>
  <c r="BC18" i="7"/>
  <c r="AY18" i="7"/>
  <c r="AM121" i="7"/>
  <c r="AM116" i="7" s="1"/>
  <c r="G46" i="7"/>
  <c r="G124" i="7"/>
  <c r="AI20" i="7"/>
  <c r="AU20" i="7" s="1"/>
  <c r="AF15" i="7"/>
  <c r="T20" i="7"/>
  <c r="AF20" i="7" s="1"/>
  <c r="N46" i="7"/>
  <c r="N124" i="7"/>
  <c r="H28" i="7"/>
  <c r="H23" i="7"/>
  <c r="N34" i="7"/>
  <c r="N41" i="7"/>
  <c r="N29" i="7"/>
  <c r="AC23" i="7"/>
  <c r="AC28" i="7"/>
  <c r="AB32" i="7"/>
  <c r="AB114" i="7"/>
  <c r="AB115" i="7" s="1"/>
  <c r="AB117" i="7" s="1"/>
  <c r="T103" i="7"/>
  <c r="AF104" i="7"/>
  <c r="W41" i="7"/>
  <c r="W34" i="7"/>
  <c r="W29" i="7"/>
  <c r="AN121" i="7"/>
  <c r="AN116" i="7" s="1"/>
  <c r="H47" i="7"/>
  <c r="H50" i="7"/>
  <c r="J47" i="7"/>
  <c r="J50" i="7"/>
  <c r="AN23" i="7" l="1"/>
  <c r="AN28" i="7"/>
  <c r="AP46" i="7"/>
  <c r="AJ124" i="7"/>
  <c r="AP41" i="7"/>
  <c r="AP34" i="7"/>
  <c r="AP29" i="7"/>
  <c r="Y41" i="7"/>
  <c r="Y34" i="7"/>
  <c r="Y29" i="7"/>
  <c r="AR114" i="7"/>
  <c r="AR115" i="7" s="1"/>
  <c r="AR117" i="7" s="1"/>
  <c r="AO41" i="7"/>
  <c r="AO34" i="7"/>
  <c r="AO29" i="7"/>
  <c r="W39" i="7"/>
  <c r="W35" i="7"/>
  <c r="AB46" i="7"/>
  <c r="Y124" i="7"/>
  <c r="H41" i="7"/>
  <c r="H34" i="7"/>
  <c r="H29" i="7"/>
  <c r="BB15" i="7"/>
  <c r="AX15" i="7"/>
  <c r="O39" i="7"/>
  <c r="O35" i="7"/>
  <c r="BC20" i="7"/>
  <c r="AY20" i="7"/>
  <c r="X47" i="7"/>
  <c r="X50" i="7"/>
  <c r="G39" i="7"/>
  <c r="G35" i="7"/>
  <c r="AI103" i="7"/>
  <c r="AU104" i="7"/>
  <c r="AC41" i="7"/>
  <c r="AC34" i="7"/>
  <c r="AC29" i="7"/>
  <c r="N39" i="7"/>
  <c r="N35" i="7"/>
  <c r="N47" i="7"/>
  <c r="N50" i="7"/>
  <c r="AE46" i="7"/>
  <c r="AB124" i="7"/>
  <c r="AL32" i="7"/>
  <c r="AL114" i="7"/>
  <c r="AL115" i="7" s="1"/>
  <c r="AL117" i="7" s="1"/>
  <c r="AQ32" i="7"/>
  <c r="AQ114" i="7"/>
  <c r="AQ115" i="7" s="1"/>
  <c r="AQ117" i="7" s="1"/>
  <c r="F34" i="7"/>
  <c r="F41" i="7"/>
  <c r="F29" i="7"/>
  <c r="AF12" i="7"/>
  <c r="T22" i="7"/>
  <c r="AL28" i="7"/>
  <c r="AL23" i="7"/>
  <c r="L41" i="7"/>
  <c r="L34" i="7"/>
  <c r="L29" i="7"/>
  <c r="AR23" i="7"/>
  <c r="AR28" i="7"/>
  <c r="AJ115" i="7"/>
  <c r="AJ117" i="7" s="1"/>
  <c r="T31" i="7"/>
  <c r="AF103" i="7"/>
  <c r="BB20" i="7"/>
  <c r="AX20" i="7"/>
  <c r="G47" i="7"/>
  <c r="G50" i="7"/>
  <c r="I35" i="7"/>
  <c r="I39" i="7"/>
  <c r="AJ12" i="7"/>
  <c r="AJ22" i="7" s="1"/>
  <c r="D49" i="7"/>
  <c r="AY25" i="7"/>
  <c r="AU26" i="7"/>
  <c r="AE35" i="7"/>
  <c r="AE39" i="7"/>
  <c r="AQ34" i="7"/>
  <c r="M35" i="7"/>
  <c r="M39" i="7"/>
  <c r="V41" i="7"/>
  <c r="V34" i="7"/>
  <c r="V29" i="7"/>
  <c r="AI116" i="7"/>
  <c r="K41" i="7"/>
  <c r="K34" i="7"/>
  <c r="K29" i="7"/>
  <c r="AJ121" i="7"/>
  <c r="AJ116" i="7" s="1"/>
  <c r="AU19" i="7"/>
  <c r="AU120" i="7"/>
  <c r="AN114" i="7"/>
  <c r="AN115" i="7" s="1"/>
  <c r="AN117" i="7" s="1"/>
  <c r="AS114" i="7"/>
  <c r="AS115" i="7" s="1"/>
  <c r="AS117" i="7" s="1"/>
  <c r="V47" i="7"/>
  <c r="V50" i="7"/>
  <c r="AM114" i="7"/>
  <c r="AM115" i="7" s="1"/>
  <c r="AM117" i="7" s="1"/>
  <c r="P47" i="7"/>
  <c r="P50" i="7"/>
  <c r="AD46" i="7"/>
  <c r="AA124" i="7"/>
  <c r="Z39" i="7"/>
  <c r="Z35" i="7"/>
  <c r="AA46" i="7"/>
  <c r="X124" i="7"/>
  <c r="I47" i="7"/>
  <c r="I50" i="7"/>
  <c r="AK32" i="7"/>
  <c r="AK114" i="7"/>
  <c r="AK115" i="7" s="1"/>
  <c r="AK117" i="7" s="1"/>
  <c r="AO32" i="7"/>
  <c r="AO114" i="7"/>
  <c r="AO115" i="7" s="1"/>
  <c r="AO117" i="7" s="1"/>
  <c r="J34" i="7"/>
  <c r="J41" i="7"/>
  <c r="J29" i="7"/>
  <c r="BC15" i="7"/>
  <c r="AY15" i="7"/>
  <c r="E28" i="7"/>
  <c r="E23" i="7"/>
  <c r="Q22" i="7"/>
  <c r="Q23" i="7" s="1"/>
  <c r="AA39" i="7"/>
  <c r="AA35" i="7"/>
  <c r="AD39" i="7"/>
  <c r="AD35" i="7"/>
  <c r="AS28" i="7"/>
  <c r="AS23" i="7"/>
  <c r="AU113" i="7"/>
  <c r="AY113" i="7" s="1"/>
  <c r="X39" i="7"/>
  <c r="X35" i="7"/>
  <c r="AI12" i="7"/>
  <c r="Z46" i="7"/>
  <c r="W124" i="7"/>
  <c r="Q31" i="7"/>
  <c r="Q32" i="7" s="1"/>
  <c r="E32" i="7"/>
  <c r="E114" i="7"/>
  <c r="Y46" i="7"/>
  <c r="V124" i="7"/>
  <c r="U47" i="7"/>
  <c r="U50" i="7"/>
  <c r="AM28" i="7"/>
  <c r="AM23" i="7"/>
  <c r="AC46" i="7"/>
  <c r="Z124" i="7"/>
  <c r="O47" i="7"/>
  <c r="O50" i="7"/>
  <c r="U41" i="7"/>
  <c r="U34" i="7"/>
  <c r="U29" i="7"/>
  <c r="L47" i="7"/>
  <c r="L50" i="7"/>
  <c r="BC14" i="7"/>
  <c r="AY14" i="7"/>
  <c r="AK41" i="7"/>
  <c r="AK29" i="7"/>
  <c r="AK34" i="7"/>
  <c r="AT41" i="7"/>
  <c r="AT34" i="7"/>
  <c r="AT29" i="7"/>
  <c r="W47" i="7"/>
  <c r="W50" i="7"/>
  <c r="AT114" i="7"/>
  <c r="AT115" i="7" s="1"/>
  <c r="AT117" i="7" s="1"/>
  <c r="AT46" i="7" l="1"/>
  <c r="AN124" i="7"/>
  <c r="AA47" i="7"/>
  <c r="AA50" i="7"/>
  <c r="AM34" i="7"/>
  <c r="AM41" i="7"/>
  <c r="AM29" i="7"/>
  <c r="Y47" i="7"/>
  <c r="Y50" i="7"/>
  <c r="AO46" i="7"/>
  <c r="AI124" i="7"/>
  <c r="AY19" i="7"/>
  <c r="BC19" i="7"/>
  <c r="V39" i="7"/>
  <c r="V35" i="7"/>
  <c r="AQ39" i="7"/>
  <c r="AQ35" i="7"/>
  <c r="AJ46" i="7"/>
  <c r="AD124" i="7"/>
  <c r="L39" i="7"/>
  <c r="L35" i="7"/>
  <c r="T28" i="7"/>
  <c r="AF22" i="7"/>
  <c r="T23" i="7"/>
  <c r="F39" i="7"/>
  <c r="F35" i="7"/>
  <c r="AI31" i="7"/>
  <c r="AU103" i="7"/>
  <c r="AO39" i="7"/>
  <c r="AO35" i="7"/>
  <c r="AK39" i="7"/>
  <c r="AK35" i="7"/>
  <c r="U35" i="7"/>
  <c r="U39" i="7"/>
  <c r="AC47" i="7"/>
  <c r="AC50" i="7"/>
  <c r="AU12" i="7"/>
  <c r="AI22" i="7"/>
  <c r="E34" i="7"/>
  <c r="Q28" i="7"/>
  <c r="Q29" i="7" s="1"/>
  <c r="E41" i="7"/>
  <c r="Q41" i="7" s="1"/>
  <c r="E29" i="7"/>
  <c r="AK46" i="7"/>
  <c r="AE124" i="7"/>
  <c r="AM46" i="7"/>
  <c r="AG124" i="7"/>
  <c r="AN46" i="7"/>
  <c r="AH124" i="7"/>
  <c r="AU116" i="7"/>
  <c r="AE47" i="7"/>
  <c r="AE50" i="7"/>
  <c r="AR46" i="7"/>
  <c r="AL124" i="7"/>
  <c r="AT39" i="7"/>
  <c r="AT35" i="7"/>
  <c r="J39" i="7"/>
  <c r="J35" i="7"/>
  <c r="AD47" i="7"/>
  <c r="AD50" i="7"/>
  <c r="K39" i="7"/>
  <c r="K35" i="7"/>
  <c r="AJ23" i="7"/>
  <c r="AJ28" i="7"/>
  <c r="AF31" i="7"/>
  <c r="T32" i="7"/>
  <c r="T114" i="7"/>
  <c r="AL41" i="7"/>
  <c r="AL34" i="7"/>
  <c r="AL29" i="7"/>
  <c r="AL46" i="7"/>
  <c r="AF124" i="7"/>
  <c r="AP39" i="7"/>
  <c r="AP35" i="7"/>
  <c r="AP47" i="7"/>
  <c r="AP50" i="7"/>
  <c r="AB47" i="7"/>
  <c r="AB50" i="7"/>
  <c r="Y35" i="7"/>
  <c r="Y39" i="7"/>
  <c r="AN34" i="7"/>
  <c r="AN41" i="7"/>
  <c r="AN29" i="7"/>
  <c r="AS41" i="7"/>
  <c r="AS34" i="7"/>
  <c r="AS29" i="7"/>
  <c r="Q114" i="7"/>
  <c r="E115" i="7"/>
  <c r="Z47" i="7"/>
  <c r="Z50" i="7"/>
  <c r="AS46" i="7"/>
  <c r="AM124" i="7"/>
  <c r="AU121" i="7"/>
  <c r="AR34" i="7"/>
  <c r="AR41" i="7"/>
  <c r="AR29" i="7"/>
  <c r="BB12" i="7"/>
  <c r="AX12" i="7"/>
  <c r="AQ46" i="7"/>
  <c r="AK124" i="7"/>
  <c r="AC35" i="7"/>
  <c r="AC39" i="7"/>
  <c r="H39" i="7"/>
  <c r="H35" i="7"/>
  <c r="AN47" i="7" l="1"/>
  <c r="AN50" i="7"/>
  <c r="AK47" i="7"/>
  <c r="AK50" i="7"/>
  <c r="Q34" i="7"/>
  <c r="E35" i="7"/>
  <c r="E39" i="7"/>
  <c r="AU31" i="7"/>
  <c r="AI32" i="7"/>
  <c r="AI114" i="7"/>
  <c r="AF23" i="7"/>
  <c r="AX22" i="7"/>
  <c r="AJ34" i="7"/>
  <c r="AJ41" i="7"/>
  <c r="AJ29" i="7"/>
  <c r="AQ47" i="7"/>
  <c r="AQ50" i="7"/>
  <c r="AS47" i="7"/>
  <c r="AS50" i="7"/>
  <c r="AF114" i="7"/>
  <c r="AX114" i="7" s="1"/>
  <c r="T115" i="7"/>
  <c r="AR35" i="7"/>
  <c r="AR39" i="7"/>
  <c r="AI28" i="7"/>
  <c r="AU22" i="7"/>
  <c r="AI23" i="7"/>
  <c r="AF28" i="7"/>
  <c r="T29" i="7"/>
  <c r="T41" i="7"/>
  <c r="AF41" i="7" s="1"/>
  <c r="T34" i="7"/>
  <c r="AJ47" i="7"/>
  <c r="AJ50" i="7"/>
  <c r="AO47" i="7"/>
  <c r="AO50" i="7"/>
  <c r="E117" i="7"/>
  <c r="Q115" i="7"/>
  <c r="AL47" i="7"/>
  <c r="AL50" i="7"/>
  <c r="AS39" i="7"/>
  <c r="AS35" i="7"/>
  <c r="AN35" i="7"/>
  <c r="AN39" i="7"/>
  <c r="AL39" i="7"/>
  <c r="AL35" i="7"/>
  <c r="AX31" i="7"/>
  <c r="AF32" i="7"/>
  <c r="AR47" i="7"/>
  <c r="AR50" i="7"/>
  <c r="AM47" i="7"/>
  <c r="AM50" i="7"/>
  <c r="BC12" i="7"/>
  <c r="AY12" i="7"/>
  <c r="AM39" i="7"/>
  <c r="AM35" i="7"/>
  <c r="AT47" i="7"/>
  <c r="AT50" i="7"/>
  <c r="AI34" i="7" l="1"/>
  <c r="AU28" i="7"/>
  <c r="AI41" i="7"/>
  <c r="AU41" i="7" s="1"/>
  <c r="AI29" i="7"/>
  <c r="AU32" i="7"/>
  <c r="AY31" i="7"/>
  <c r="E124" i="7"/>
  <c r="E46" i="7"/>
  <c r="Q117" i="7"/>
  <c r="Q46" i="7" s="1"/>
  <c r="AX28" i="7"/>
  <c r="AF29" i="7"/>
  <c r="T35" i="7"/>
  <c r="AF34" i="7"/>
  <c r="T39" i="7"/>
  <c r="AU114" i="7"/>
  <c r="AY114" i="7" s="1"/>
  <c r="AI115" i="7"/>
  <c r="AY22" i="7"/>
  <c r="AU23" i="7"/>
  <c r="T117" i="7"/>
  <c r="AF115" i="7"/>
  <c r="AX115" i="7" s="1"/>
  <c r="AJ35" i="7"/>
  <c r="AJ39" i="7"/>
  <c r="Q39" i="7"/>
  <c r="Q40" i="7" s="1"/>
  <c r="Q35" i="7"/>
  <c r="AI117" i="7" l="1"/>
  <c r="AU115" i="7"/>
  <c r="AY115" i="7" s="1"/>
  <c r="E50" i="7"/>
  <c r="Q50" i="7" s="1"/>
  <c r="E47" i="7"/>
  <c r="D51" i="7"/>
  <c r="E48" i="7"/>
  <c r="F48" i="7" s="1"/>
  <c r="G48" i="7" s="1"/>
  <c r="H48" i="7" s="1"/>
  <c r="I48" i="7" s="1"/>
  <c r="J48" i="7" s="1"/>
  <c r="K48" i="7" s="1"/>
  <c r="L48" i="7" s="1"/>
  <c r="M48" i="7" s="1"/>
  <c r="N48" i="7" s="1"/>
  <c r="O48" i="7" s="1"/>
  <c r="P48" i="7" s="1"/>
  <c r="T48" i="7" s="1"/>
  <c r="U48" i="7" s="1"/>
  <c r="V48" i="7" s="1"/>
  <c r="W48" i="7" s="1"/>
  <c r="X48" i="7" s="1"/>
  <c r="Y48" i="7" s="1"/>
  <c r="Z48" i="7" s="1"/>
  <c r="AA48" i="7" s="1"/>
  <c r="AB48" i="7" s="1"/>
  <c r="AC48" i="7" s="1"/>
  <c r="AD48" i="7" s="1"/>
  <c r="AE48" i="7" s="1"/>
  <c r="T46" i="7"/>
  <c r="Q124" i="7"/>
  <c r="AF117" i="7"/>
  <c r="AY28" i="7"/>
  <c r="AU29" i="7"/>
  <c r="AF39" i="7"/>
  <c r="AX34" i="7"/>
  <c r="AF35" i="7"/>
  <c r="AU34" i="7"/>
  <c r="AI39" i="7"/>
  <c r="AI35" i="7"/>
  <c r="Q47" i="7" l="1"/>
  <c r="E49" i="7"/>
  <c r="F49" i="7" s="1"/>
  <c r="G49" i="7" s="1"/>
  <c r="H49" i="7" s="1"/>
  <c r="I49" i="7" s="1"/>
  <c r="J49" i="7" s="1"/>
  <c r="K49" i="7" s="1"/>
  <c r="L49" i="7" s="1"/>
  <c r="M49" i="7" s="1"/>
  <c r="N49" i="7" s="1"/>
  <c r="O49" i="7" s="1"/>
  <c r="P49" i="7" s="1"/>
  <c r="T49" i="7" s="1"/>
  <c r="U49" i="7" s="1"/>
  <c r="V49" i="7" s="1"/>
  <c r="W49" i="7" s="1"/>
  <c r="X49" i="7" s="1"/>
  <c r="Y49" i="7" s="1"/>
  <c r="Z49" i="7" s="1"/>
  <c r="AA49" i="7" s="1"/>
  <c r="AB49" i="7" s="1"/>
  <c r="AC49" i="7" s="1"/>
  <c r="AD49" i="7" s="1"/>
  <c r="AE49" i="7" s="1"/>
  <c r="AX117" i="7"/>
  <c r="AF46" i="7"/>
  <c r="AX39" i="7"/>
  <c r="AF40" i="7"/>
  <c r="AY34" i="7"/>
  <c r="AU35" i="7"/>
  <c r="AU39" i="7"/>
  <c r="T47" i="7"/>
  <c r="AF47" i="7" s="1"/>
  <c r="T50" i="7"/>
  <c r="AF50" i="7" s="1"/>
  <c r="AI46" i="7"/>
  <c r="AU117" i="7"/>
  <c r="AC124" i="7"/>
  <c r="Q125" i="7" s="1"/>
  <c r="Q53" i="7" s="1"/>
  <c r="AY117" i="7" l="1"/>
  <c r="AU46" i="7"/>
  <c r="AY39" i="7"/>
  <c r="AU40" i="7"/>
  <c r="AI47" i="7"/>
  <c r="AU47" i="7" s="1"/>
  <c r="AI50" i="7"/>
  <c r="AU50" i="7" s="1"/>
  <c r="AI48" i="7"/>
  <c r="AJ48" i="7" s="1"/>
  <c r="AK48" i="7" s="1"/>
  <c r="AL48" i="7" s="1"/>
  <c r="AM48" i="7" s="1"/>
  <c r="AN48" i="7" s="1"/>
  <c r="AO48" i="7" s="1"/>
  <c r="AP48" i="7" s="1"/>
  <c r="AQ48" i="7" s="1"/>
  <c r="AR48" i="7" s="1"/>
  <c r="AS48" i="7" s="1"/>
  <c r="AT48" i="7" s="1"/>
  <c r="Q126" i="7"/>
  <c r="AI49" i="7" l="1"/>
  <c r="AJ49" i="7" s="1"/>
  <c r="AK49" i="7" s="1"/>
  <c r="AL49" i="7" s="1"/>
  <c r="AM49" i="7" s="1"/>
  <c r="AN49" i="7" s="1"/>
  <c r="AO49" i="7" s="1"/>
  <c r="AP49" i="7" s="1"/>
  <c r="AQ49" i="7" s="1"/>
  <c r="AR49" i="7" s="1"/>
  <c r="AS49" i="7" s="1"/>
  <c r="AT49" i="7" s="1"/>
</calcChain>
</file>

<file path=xl/sharedStrings.xml><?xml version="1.0" encoding="utf-8"?>
<sst xmlns="http://schemas.openxmlformats.org/spreadsheetml/2006/main" count="389" uniqueCount="138">
  <si>
    <t>total</t>
  </si>
  <si>
    <t>ingresos ($)</t>
  </si>
  <si>
    <t xml:space="preserve"> online</t>
  </si>
  <si>
    <t xml:space="preserve"> corporativo</t>
  </si>
  <si>
    <t xml:space="preserve"> shipping</t>
  </si>
  <si>
    <t>ventas (u)</t>
  </si>
  <si>
    <t>costo directo</t>
  </si>
  <si>
    <t>% ventas</t>
  </si>
  <si>
    <t xml:space="preserve"> partners experiencias</t>
  </si>
  <si>
    <t xml:space="preserve"> packaging</t>
  </si>
  <si>
    <t xml:space="preserve"> comisiones online</t>
  </si>
  <si>
    <t xml:space="preserve"> comisiones corporativo </t>
  </si>
  <si>
    <t>contribución marginal</t>
  </si>
  <si>
    <t>desarrollo de negocio</t>
  </si>
  <si>
    <t>area de soporte</t>
  </si>
  <si>
    <t>resultado operativo</t>
  </si>
  <si>
    <t>EBITDA</t>
  </si>
  <si>
    <t>D&amp;Amortizaciones</t>
  </si>
  <si>
    <t>EBIT</t>
  </si>
  <si>
    <t>TIR</t>
  </si>
  <si>
    <t>ticket promedio</t>
  </si>
  <si>
    <t>COSTO DIRECTO</t>
  </si>
  <si>
    <t>Partners</t>
  </si>
  <si>
    <t>Costo operativo online</t>
  </si>
  <si>
    <t>Costo operativo corporativo</t>
  </si>
  <si>
    <t>Otros</t>
  </si>
  <si>
    <t>Packaging</t>
  </si>
  <si>
    <t>Comisiones corporativo</t>
  </si>
  <si>
    <t>Comisiones online</t>
  </si>
  <si>
    <t>DESARROLLO DEL NEGOCIO</t>
  </si>
  <si>
    <t>Marketing &amp; publicidad</t>
  </si>
  <si>
    <t>Email</t>
  </si>
  <si>
    <t>Carga salarial</t>
  </si>
  <si>
    <t>Salario</t>
  </si>
  <si>
    <t>Comisiones</t>
  </si>
  <si>
    <t>Bono</t>
  </si>
  <si>
    <t xml:space="preserve"> box</t>
  </si>
  <si>
    <t>ventas</t>
  </si>
  <si>
    <t>dias mes</t>
  </si>
  <si>
    <t xml:space="preserve"> online </t>
  </si>
  <si>
    <t xml:space="preserve"> diaria online</t>
  </si>
  <si>
    <t xml:space="preserve"> diaria corporativo</t>
  </si>
  <si>
    <t>SCENARIO</t>
  </si>
  <si>
    <t>CORPO</t>
  </si>
  <si>
    <t>ONLINE</t>
  </si>
  <si>
    <t xml:space="preserve"> ticket promedio</t>
  </si>
  <si>
    <t>VENTAS UNIDADES</t>
  </si>
  <si>
    <t>Tasa de descuento</t>
  </si>
  <si>
    <t>Ganacias</t>
  </si>
  <si>
    <t>Impuesto a las Ganancias</t>
  </si>
  <si>
    <t>Free Cash Flow</t>
  </si>
  <si>
    <t>Free Cash Flow Descontado</t>
  </si>
  <si>
    <t>Cash Flow Acumulado</t>
  </si>
  <si>
    <t>Free Cash Flow Descontado Acumulado</t>
  </si>
  <si>
    <t>Impuesto IB</t>
  </si>
  <si>
    <t>SAC + Vacaciones</t>
  </si>
  <si>
    <t xml:space="preserve">Ingreso </t>
  </si>
  <si>
    <t>Egresos</t>
  </si>
  <si>
    <t>CASH FLOW</t>
  </si>
  <si>
    <t>Impuesto a IB comisionistas</t>
  </si>
  <si>
    <t>ASUMPTIONS</t>
  </si>
  <si>
    <t>Impuestos</t>
  </si>
  <si>
    <t>CF Operativo</t>
  </si>
  <si>
    <t>DF</t>
  </si>
  <si>
    <t>CF</t>
  </si>
  <si>
    <t>Iva a Pagar</t>
  </si>
  <si>
    <t>CF Neto</t>
  </si>
  <si>
    <t>SOPORTE</t>
  </si>
  <si>
    <t>Alocación Soporte</t>
  </si>
  <si>
    <t>CAPEX</t>
  </si>
  <si>
    <t>Equipo computación</t>
  </si>
  <si>
    <t>Total</t>
  </si>
  <si>
    <t>Amortizacion</t>
  </si>
  <si>
    <t>Estimaciones Ventas 2017</t>
  </si>
  <si>
    <t>Inflación</t>
  </si>
  <si>
    <t xml:space="preserve">Crecimiento B2B </t>
  </si>
  <si>
    <t>Crecimiento B2B</t>
  </si>
  <si>
    <t>Shipping</t>
  </si>
  <si>
    <t>Precio unitario packaging</t>
  </si>
  <si>
    <t>total año 1</t>
  </si>
  <si>
    <t>total año 2</t>
  </si>
  <si>
    <t>total año 3</t>
  </si>
  <si>
    <t>FCF 3 años</t>
  </si>
  <si>
    <t xml:space="preserve"> </t>
  </si>
  <si>
    <t>Impuesto a los d/c</t>
  </si>
  <si>
    <t>Inflaciòn</t>
  </si>
  <si>
    <t>Crecimiento B2C</t>
  </si>
  <si>
    <t>Impuestos IBB</t>
  </si>
  <si>
    <t>Comisionistas</t>
  </si>
  <si>
    <t>Envíos</t>
  </si>
  <si>
    <t>Ticket promedio</t>
  </si>
  <si>
    <t>Valor del envìo</t>
  </si>
  <si>
    <t>Comisiòn Mercado Pago</t>
  </si>
  <si>
    <t>NPV</t>
  </si>
  <si>
    <t>Amortizaciòn computadora</t>
  </si>
  <si>
    <t>36 meses</t>
  </si>
  <si>
    <t>VP</t>
  </si>
  <si>
    <t>Presupuesto mensual</t>
  </si>
  <si>
    <t>ASSUMPTION</t>
  </si>
  <si>
    <t>NOTAS</t>
  </si>
  <si>
    <t>Gastos Soporte</t>
  </si>
  <si>
    <t>TEM Pasiva</t>
  </si>
  <si>
    <t>TNA Pasiva</t>
  </si>
  <si>
    <t>YoY 2/1</t>
  </si>
  <si>
    <t>YoY 3/2</t>
  </si>
  <si>
    <t>Packaging U</t>
  </si>
  <si>
    <t>Google M</t>
  </si>
  <si>
    <t>Radio M</t>
  </si>
  <si>
    <t>Dólar</t>
  </si>
  <si>
    <t>Facebook Post Patrocinados</t>
  </si>
  <si>
    <t>Facebook Ads</t>
  </si>
  <si>
    <t>Instagram</t>
  </si>
  <si>
    <t>Google</t>
  </si>
  <si>
    <t>Radio</t>
  </si>
  <si>
    <t xml:space="preserve">Anotaciones </t>
  </si>
  <si>
    <t>Mail M</t>
  </si>
  <si>
    <t>Resumen</t>
  </si>
  <si>
    <t>TOTAL</t>
  </si>
  <si>
    <t>ON</t>
  </si>
  <si>
    <t>B2B</t>
  </si>
  <si>
    <t>total canal</t>
  </si>
  <si>
    <t>VENTAS POR CANAL</t>
  </si>
  <si>
    <t>Tasa Pasiva</t>
  </si>
  <si>
    <t>NA</t>
  </si>
  <si>
    <t>De acuerdo a la estacionalidad en la industrai de los regalos</t>
  </si>
  <si>
    <t>50% envíos a domicilio</t>
  </si>
  <si>
    <t>Assumptions</t>
  </si>
  <si>
    <t>Estacioalidad</t>
  </si>
  <si>
    <t>Según estándar ( servicios, alquiler, finanzas, sistema, IT, marketing, operación y atención al cliente). Referencia: http://www.merval.sba.com.ar/default.aspx</t>
  </si>
  <si>
    <t>FCF</t>
  </si>
  <si>
    <t>Año 1</t>
  </si>
  <si>
    <t>Año 2</t>
  </si>
  <si>
    <t>Año 3</t>
  </si>
  <si>
    <t>P&amp;L</t>
  </si>
  <si>
    <t xml:space="preserve"> venta online mes</t>
  </si>
  <si>
    <t xml:space="preserve"> venta corporativo mes</t>
  </si>
  <si>
    <t xml:space="preserve"> venta online diaria</t>
  </si>
  <si>
    <t xml:space="preserve"> venta corporativo diaria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</si>
</sst>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-;\-* #,##0.00_-;_-* &quot;-&quot;??_-;_-@_-"/>
    <numFmt numFmtId="165" formatCode="&quot;$&quot;#,##0;[Red]\-&quot;$&quot;#,##0"/>
    <numFmt numFmtId="166" formatCode="&quot;$&quot;#,##0.00;[Red]\-&quot;$&quot;#,##0.00"/>
    <numFmt numFmtId="167" formatCode="_-&quot;$&quot;* #,##0.00_-;\-&quot;$&quot;* #,##0.00_-;_-&quot;$&quot;* &quot;-&quot;??_-;_-@_-"/>
    <numFmt numFmtId="168" formatCode="_-&quot;$&quot;* #,##0_-;\-&quot;$&quot;* #,##0_-;_-&quot;$&quot;* &quot;-&quot;??_-;_-@_-"/>
    <numFmt numFmtId="169" formatCode="_(* #,##0_);_(* \(#,##0\);_(* &quot;-&quot;??_);_(@_)"/>
    <numFmt numFmtId="170" formatCode="0.0%"/>
    <numFmt numFmtId="171" formatCode="&quot;$&quot;#,##0;[Red]&quot;$&quot;#,##0"/>
    <numFmt numFmtId="172" formatCode="&quot;$&quot;#,##0.00;[Red]&quot;$&quot;#,##0.00"/>
    <numFmt numFmtId="173" formatCode="#,##0.00[$US$-475]"/>
    <numFmt numFmtId="174" formatCode="#,##0[$US$-475]"/>
    <numFmt numFmtId="175" formatCode="_-&quot;$&quot;\ * #,##0_-;\-&quot;$&quot;\ * #,##0_-;_-&quot;$&quot;\ 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5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" fontId="7" fillId="0" borderId="0" xfId="0" quotePrefix="1" applyNumberFormat="1" applyFont="1" applyAlignment="1">
      <alignment horizontal="center"/>
    </xf>
    <xf numFmtId="0" fontId="5" fillId="0" borderId="0" xfId="0" applyFont="1" applyBorder="1"/>
    <xf numFmtId="168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168" fontId="7" fillId="0" borderId="0" xfId="0" applyNumberFormat="1" applyFont="1"/>
    <xf numFmtId="168" fontId="5" fillId="0" borderId="0" xfId="0" applyNumberFormat="1" applyFont="1"/>
    <xf numFmtId="168" fontId="5" fillId="0" borderId="12" xfId="0" applyNumberFormat="1" applyFont="1" applyBorder="1"/>
    <xf numFmtId="9" fontId="5" fillId="0" borderId="0" xfId="2" applyFont="1" applyAlignment="1">
      <alignment horizontal="center"/>
    </xf>
    <xf numFmtId="170" fontId="5" fillId="0" borderId="0" xfId="2" applyNumberFormat="1" applyFont="1"/>
    <xf numFmtId="9" fontId="5" fillId="0" borderId="0" xfId="0" applyNumberFormat="1" applyFont="1"/>
    <xf numFmtId="168" fontId="5" fillId="8" borderId="0" xfId="0" applyNumberFormat="1" applyFont="1" applyFill="1"/>
    <xf numFmtId="168" fontId="5" fillId="4" borderId="0" xfId="0" applyNumberFormat="1" applyFont="1" applyFill="1"/>
    <xf numFmtId="1" fontId="5" fillId="0" borderId="0" xfId="0" applyNumberFormat="1" applyFont="1"/>
    <xf numFmtId="168" fontId="7" fillId="8" borderId="0" xfId="0" applyNumberFormat="1" applyFont="1" applyFill="1"/>
    <xf numFmtId="10" fontId="5" fillId="8" borderId="0" xfId="0" applyNumberFormat="1" applyFont="1" applyFill="1"/>
    <xf numFmtId="10" fontId="5" fillId="0" borderId="0" xfId="0" applyNumberFormat="1" applyFont="1"/>
    <xf numFmtId="10" fontId="5" fillId="0" borderId="12" xfId="0" applyNumberFormat="1" applyFont="1" applyBorder="1"/>
    <xf numFmtId="9" fontId="5" fillId="0" borderId="0" xfId="2" applyFont="1"/>
    <xf numFmtId="170" fontId="4" fillId="0" borderId="0" xfId="2" applyNumberFormat="1" applyFont="1"/>
    <xf numFmtId="168" fontId="5" fillId="0" borderId="8" xfId="0" applyNumberFormat="1" applyFont="1" applyBorder="1"/>
    <xf numFmtId="168" fontId="5" fillId="0" borderId="0" xfId="0" applyNumberFormat="1" applyFont="1" applyFill="1"/>
    <xf numFmtId="168" fontId="5" fillId="0" borderId="12" xfId="0" applyNumberFormat="1" applyFont="1" applyFill="1" applyBorder="1"/>
    <xf numFmtId="0" fontId="5" fillId="0" borderId="0" xfId="0" applyFont="1" applyFill="1"/>
    <xf numFmtId="9" fontId="5" fillId="0" borderId="0" xfId="2" applyFont="1" applyFill="1" applyAlignment="1">
      <alignment horizontal="center"/>
    </xf>
    <xf numFmtId="170" fontId="5" fillId="0" borderId="0" xfId="2" applyNumberFormat="1" applyFont="1" applyFill="1"/>
    <xf numFmtId="170" fontId="5" fillId="0" borderId="0" xfId="0" applyNumberFormat="1" applyFont="1"/>
    <xf numFmtId="168" fontId="7" fillId="0" borderId="12" xfId="0" applyNumberFormat="1" applyFont="1" applyBorder="1"/>
    <xf numFmtId="10" fontId="7" fillId="0" borderId="0" xfId="0" applyNumberFormat="1" applyFont="1"/>
    <xf numFmtId="10" fontId="7" fillId="0" borderId="12" xfId="0" applyNumberFormat="1" applyFont="1" applyBorder="1"/>
    <xf numFmtId="10" fontId="5" fillId="0" borderId="0" xfId="2" applyNumberFormat="1" applyFont="1"/>
    <xf numFmtId="10" fontId="5" fillId="0" borderId="12" xfId="2" applyNumberFormat="1" applyFont="1" applyBorder="1"/>
    <xf numFmtId="0" fontId="5" fillId="0" borderId="0" xfId="0" applyFont="1" applyFill="1" applyAlignment="1">
      <alignment horizontal="center"/>
    </xf>
    <xf numFmtId="9" fontId="7" fillId="0" borderId="0" xfId="2" applyFont="1"/>
    <xf numFmtId="10" fontId="7" fillId="0" borderId="12" xfId="2" applyNumberFormat="1" applyFont="1" applyBorder="1"/>
    <xf numFmtId="10" fontId="7" fillId="0" borderId="0" xfId="2" applyNumberFormat="1" applyFont="1"/>
    <xf numFmtId="0" fontId="5" fillId="0" borderId="12" xfId="0" applyFont="1" applyBorder="1"/>
    <xf numFmtId="168" fontId="5" fillId="0" borderId="0" xfId="0" applyNumberFormat="1" applyFont="1" applyBorder="1"/>
    <xf numFmtId="168" fontId="5" fillId="0" borderId="0" xfId="0" applyNumberFormat="1" applyFont="1" applyFill="1" applyBorder="1"/>
    <xf numFmtId="168" fontId="5" fillId="0" borderId="13" xfId="0" applyNumberFormat="1" applyFont="1" applyBorder="1"/>
    <xf numFmtId="0" fontId="7" fillId="0" borderId="0" xfId="0" applyFont="1" applyFill="1"/>
    <xf numFmtId="165" fontId="7" fillId="0" borderId="0" xfId="0" applyNumberFormat="1" applyFont="1" applyFill="1"/>
    <xf numFmtId="165" fontId="7" fillId="0" borderId="0" xfId="0" applyNumberFormat="1" applyFont="1"/>
    <xf numFmtId="1" fontId="5" fillId="0" borderId="0" xfId="0" applyNumberFormat="1" applyFont="1" applyFill="1"/>
    <xf numFmtId="168" fontId="6" fillId="0" borderId="0" xfId="0" applyNumberFormat="1" applyFont="1"/>
    <xf numFmtId="0" fontId="7" fillId="8" borderId="0" xfId="0" applyFont="1" applyFill="1"/>
    <xf numFmtId="165" fontId="7" fillId="8" borderId="0" xfId="0" applyNumberFormat="1" applyFont="1" applyFill="1"/>
    <xf numFmtId="1" fontId="5" fillId="8" borderId="0" xfId="0" applyNumberFormat="1" applyFont="1" applyFill="1"/>
    <xf numFmtId="0" fontId="7" fillId="0" borderId="1" xfId="0" applyFont="1" applyBorder="1"/>
    <xf numFmtId="0" fontId="7" fillId="0" borderId="2" xfId="0" applyFont="1" applyBorder="1"/>
    <xf numFmtId="0" fontId="5" fillId="0" borderId="2" xfId="0" applyFont="1" applyBorder="1"/>
    <xf numFmtId="168" fontId="5" fillId="8" borderId="2" xfId="0" applyNumberFormat="1" applyFont="1" applyFill="1" applyBorder="1"/>
    <xf numFmtId="168" fontId="5" fillId="0" borderId="2" xfId="0" applyNumberFormat="1" applyFont="1" applyBorder="1"/>
    <xf numFmtId="10" fontId="5" fillId="0" borderId="3" xfId="0" applyNumberFormat="1" applyFont="1" applyBorder="1"/>
    <xf numFmtId="0" fontId="8" fillId="0" borderId="0" xfId="0" applyFont="1" applyBorder="1"/>
    <xf numFmtId="0" fontId="6" fillId="0" borderId="0" xfId="0" applyFont="1" applyBorder="1"/>
    <xf numFmtId="0" fontId="7" fillId="0" borderId="0" xfId="0" applyFont="1" applyBorder="1"/>
    <xf numFmtId="168" fontId="5" fillId="8" borderId="0" xfId="0" applyNumberFormat="1" applyFont="1" applyFill="1" applyBorder="1"/>
    <xf numFmtId="9" fontId="5" fillId="0" borderId="0" xfId="0" applyNumberFormat="1" applyFont="1" applyBorder="1"/>
    <xf numFmtId="0" fontId="8" fillId="8" borderId="0" xfId="0" applyFont="1" applyFill="1" applyBorder="1"/>
    <xf numFmtId="168" fontId="6" fillId="8" borderId="0" xfId="0" applyNumberFormat="1" applyFont="1" applyFill="1" applyBorder="1"/>
    <xf numFmtId="0" fontId="5" fillId="0" borderId="14" xfId="0" applyFont="1" applyBorder="1"/>
    <xf numFmtId="168" fontId="5" fillId="8" borderId="14" xfId="0" applyNumberFormat="1" applyFont="1" applyFill="1" applyBorder="1"/>
    <xf numFmtId="168" fontId="5" fillId="0" borderId="14" xfId="0" applyNumberFormat="1" applyFont="1" applyBorder="1"/>
    <xf numFmtId="10" fontId="5" fillId="0" borderId="6" xfId="0" applyNumberFormat="1" applyFont="1" applyFill="1" applyBorder="1"/>
    <xf numFmtId="0" fontId="6" fillId="8" borderId="0" xfId="0" applyFont="1" applyFill="1" applyBorder="1"/>
    <xf numFmtId="0" fontId="5" fillId="8" borderId="0" xfId="0" applyFont="1" applyFill="1" applyBorder="1"/>
    <xf numFmtId="10" fontId="5" fillId="0" borderId="8" xfId="0" applyNumberFormat="1" applyFont="1" applyFill="1" applyBorder="1"/>
    <xf numFmtId="9" fontId="6" fillId="9" borderId="0" xfId="0" applyNumberFormat="1" applyFont="1" applyFill="1" applyBorder="1"/>
    <xf numFmtId="0" fontId="5" fillId="0" borderId="7" xfId="0" applyFont="1" applyBorder="1"/>
    <xf numFmtId="10" fontId="5" fillId="0" borderId="8" xfId="0" applyNumberFormat="1" applyFont="1" applyBorder="1"/>
    <xf numFmtId="0" fontId="5" fillId="0" borderId="9" xfId="0" applyFont="1" applyBorder="1"/>
    <xf numFmtId="0" fontId="5" fillId="0" borderId="15" xfId="0" applyFont="1" applyBorder="1"/>
    <xf numFmtId="168" fontId="5" fillId="0" borderId="15" xfId="0" applyNumberFormat="1" applyFont="1" applyBorder="1"/>
    <xf numFmtId="10" fontId="5" fillId="0" borderId="10" xfId="0" applyNumberFormat="1" applyFont="1" applyBorder="1"/>
    <xf numFmtId="9" fontId="6" fillId="8" borderId="0" xfId="0" applyNumberFormat="1" applyFont="1" applyFill="1" applyBorder="1"/>
    <xf numFmtId="170" fontId="6" fillId="8" borderId="0" xfId="0" applyNumberFormat="1" applyFont="1" applyFill="1" applyBorder="1"/>
    <xf numFmtId="1" fontId="5" fillId="8" borderId="0" xfId="0" applyNumberFormat="1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0" borderId="0" xfId="0" applyNumberFormat="1" applyFont="1"/>
    <xf numFmtId="0" fontId="5" fillId="8" borderId="0" xfId="0" applyFont="1" applyFill="1"/>
    <xf numFmtId="9" fontId="5" fillId="8" borderId="0" xfId="0" applyNumberFormat="1" applyFont="1" applyFill="1" applyBorder="1"/>
    <xf numFmtId="171" fontId="5" fillId="8" borderId="0" xfId="0" applyNumberFormat="1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0" xfId="0" applyFont="1" applyFill="1"/>
    <xf numFmtId="167" fontId="5" fillId="0" borderId="0" xfId="0" applyNumberFormat="1" applyFont="1"/>
    <xf numFmtId="0" fontId="5" fillId="3" borderId="2" xfId="0" applyFont="1" applyFill="1" applyBorder="1" applyAlignment="1">
      <alignment horizontal="left"/>
    </xf>
    <xf numFmtId="168" fontId="5" fillId="11" borderId="0" xfId="0" applyNumberFormat="1" applyFont="1" applyFill="1"/>
    <xf numFmtId="10" fontId="5" fillId="11" borderId="0" xfId="2" applyNumberFormat="1" applyFont="1" applyFill="1"/>
    <xf numFmtId="9" fontId="5" fillId="8" borderId="0" xfId="2" applyFont="1" applyFill="1"/>
    <xf numFmtId="0" fontId="6" fillId="8" borderId="0" xfId="0" applyFont="1" applyFill="1"/>
    <xf numFmtId="0" fontId="5" fillId="8" borderId="0" xfId="0" applyFont="1" applyFill="1" applyAlignment="1">
      <alignment horizontal="center"/>
    </xf>
    <xf numFmtId="168" fontId="5" fillId="10" borderId="0" xfId="0" applyNumberFormat="1" applyFont="1" applyFill="1"/>
    <xf numFmtId="168" fontId="6" fillId="10" borderId="0" xfId="0" applyNumberFormat="1" applyFont="1" applyFill="1"/>
    <xf numFmtId="0" fontId="7" fillId="8" borderId="5" xfId="0" applyFont="1" applyFill="1" applyBorder="1"/>
    <xf numFmtId="0" fontId="5" fillId="8" borderId="14" xfId="0" applyFont="1" applyFill="1" applyBorder="1"/>
    <xf numFmtId="10" fontId="5" fillId="8" borderId="6" xfId="0" applyNumberFormat="1" applyFont="1" applyFill="1" applyBorder="1"/>
    <xf numFmtId="0" fontId="5" fillId="8" borderId="9" xfId="0" applyFont="1" applyFill="1" applyBorder="1"/>
    <xf numFmtId="0" fontId="5" fillId="8" borderId="15" xfId="0" applyFont="1" applyFill="1" applyBorder="1"/>
    <xf numFmtId="165" fontId="5" fillId="8" borderId="10" xfId="0" applyNumberFormat="1" applyFont="1" applyFill="1" applyBorder="1"/>
    <xf numFmtId="166" fontId="5" fillId="8" borderId="0" xfId="0" applyNumberFormat="1" applyFont="1" applyFill="1"/>
    <xf numFmtId="1" fontId="5" fillId="0" borderId="16" xfId="0" applyNumberFormat="1" applyFont="1" applyFill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0" borderId="0" xfId="0" applyFont="1" applyFill="1" applyBorder="1"/>
    <xf numFmtId="169" fontId="5" fillId="2" borderId="0" xfId="1" applyNumberFormat="1" applyFont="1" applyFill="1" applyBorder="1" applyAlignment="1">
      <alignment horizontal="center"/>
    </xf>
    <xf numFmtId="169" fontId="5" fillId="4" borderId="0" xfId="1" applyNumberFormat="1" applyFont="1" applyFill="1" applyBorder="1" applyAlignment="1">
      <alignment horizontal="center"/>
    </xf>
    <xf numFmtId="170" fontId="7" fillId="0" borderId="0" xfId="2" applyNumberFormat="1" applyFont="1" applyFill="1" applyBorder="1"/>
    <xf numFmtId="169" fontId="7" fillId="2" borderId="0" xfId="1" applyNumberFormat="1" applyFont="1" applyFill="1" applyBorder="1" applyAlignment="1">
      <alignment horizontal="center"/>
    </xf>
    <xf numFmtId="169" fontId="7" fillId="4" borderId="0" xfId="1" applyNumberFormat="1" applyFont="1" applyFill="1" applyBorder="1" applyAlignment="1">
      <alignment horizontal="center"/>
    </xf>
    <xf numFmtId="9" fontId="7" fillId="6" borderId="0" xfId="0" applyNumberFormat="1" applyFont="1" applyFill="1" applyBorder="1" applyAlignment="1">
      <alignment horizontal="right"/>
    </xf>
    <xf numFmtId="9" fontId="7" fillId="4" borderId="0" xfId="0" applyNumberFormat="1" applyFont="1" applyFill="1" applyBorder="1" applyAlignment="1">
      <alignment horizontal="right"/>
    </xf>
    <xf numFmtId="9" fontId="5" fillId="4" borderId="0" xfId="2" applyFont="1" applyFill="1" applyBorder="1" applyAlignment="1">
      <alignment horizontal="right"/>
    </xf>
    <xf numFmtId="9" fontId="8" fillId="7" borderId="0" xfId="0" applyNumberFormat="1" applyFont="1" applyFill="1" applyBorder="1" applyAlignment="1">
      <alignment horizontal="right"/>
    </xf>
    <xf numFmtId="169" fontId="8" fillId="5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center"/>
    </xf>
    <xf numFmtId="169" fontId="7" fillId="0" borderId="0" xfId="1" applyNumberFormat="1" applyFont="1" applyFill="1" applyBorder="1" applyAlignment="1">
      <alignment horizontal="center"/>
    </xf>
    <xf numFmtId="9" fontId="5" fillId="0" borderId="5" xfId="2" applyFont="1" applyBorder="1"/>
    <xf numFmtId="2" fontId="5" fillId="0" borderId="6" xfId="0" applyNumberFormat="1" applyFont="1" applyBorder="1"/>
    <xf numFmtId="2" fontId="5" fillId="0" borderId="5" xfId="2" applyNumberFormat="1" applyFont="1" applyBorder="1"/>
    <xf numFmtId="2" fontId="5" fillId="0" borderId="8" xfId="0" applyNumberFormat="1" applyFont="1" applyBorder="1"/>
    <xf numFmtId="2" fontId="5" fillId="0" borderId="7" xfId="0" applyNumberFormat="1" applyFont="1" applyBorder="1"/>
    <xf numFmtId="9" fontId="5" fillId="0" borderId="7" xfId="2" applyFont="1" applyBorder="1"/>
    <xf numFmtId="9" fontId="5" fillId="0" borderId="8" xfId="0" applyNumberFormat="1" applyFont="1" applyBorder="1"/>
    <xf numFmtId="2" fontId="5" fillId="0" borderId="7" xfId="2" applyNumberFormat="1" applyFont="1" applyBorder="1"/>
    <xf numFmtId="2" fontId="5" fillId="0" borderId="10" xfId="2" applyNumberFormat="1" applyFont="1" applyBorder="1"/>
    <xf numFmtId="2" fontId="5" fillId="0" borderId="0" xfId="0" applyNumberFormat="1" applyFont="1"/>
    <xf numFmtId="2" fontId="5" fillId="0" borderId="9" xfId="0" applyNumberFormat="1" applyFont="1" applyBorder="1"/>
    <xf numFmtId="2" fontId="5" fillId="0" borderId="10" xfId="0" applyNumberFormat="1" applyFont="1" applyBorder="1"/>
    <xf numFmtId="9" fontId="5" fillId="0" borderId="0" xfId="2" applyFont="1" applyFill="1" applyBorder="1"/>
    <xf numFmtId="9" fontId="5" fillId="2" borderId="0" xfId="0" applyNumberFormat="1" applyFont="1" applyFill="1"/>
    <xf numFmtId="173" fontId="5" fillId="0" borderId="0" xfId="0" applyNumberFormat="1" applyFont="1"/>
    <xf numFmtId="167" fontId="5" fillId="0" borderId="0" xfId="0" applyNumberFormat="1" applyFont="1" applyFill="1"/>
    <xf numFmtId="167" fontId="5" fillId="0" borderId="0" xfId="2" applyNumberFormat="1" applyFont="1"/>
    <xf numFmtId="172" fontId="5" fillId="0" borderId="0" xfId="2" applyNumberFormat="1" applyFont="1"/>
    <xf numFmtId="0" fontId="5" fillId="8" borderId="22" xfId="0" applyFont="1" applyFill="1" applyBorder="1" applyAlignment="1">
      <alignment horizontal="left" vertical="distributed" wrapText="1"/>
    </xf>
    <xf numFmtId="0" fontId="7" fillId="8" borderId="23" xfId="0" applyFont="1" applyFill="1" applyBorder="1" applyAlignment="1">
      <alignment horizontal="left" vertical="distributed" wrapText="1"/>
    </xf>
    <xf numFmtId="0" fontId="7" fillId="8" borderId="24" xfId="0" applyFont="1" applyFill="1" applyBorder="1" applyAlignment="1">
      <alignment horizontal="left" vertical="distributed" wrapText="1"/>
    </xf>
    <xf numFmtId="0" fontId="5" fillId="8" borderId="20" xfId="0" applyFont="1" applyFill="1" applyBorder="1" applyAlignment="1">
      <alignment horizontal="left" vertical="distributed" wrapText="1"/>
    </xf>
    <xf numFmtId="9" fontId="5" fillId="8" borderId="0" xfId="0" applyNumberFormat="1" applyFont="1" applyFill="1" applyBorder="1" applyAlignment="1">
      <alignment horizontal="left" vertical="distributed" wrapText="1"/>
    </xf>
    <xf numFmtId="9" fontId="5" fillId="8" borderId="27" xfId="0" applyNumberFormat="1" applyFont="1" applyFill="1" applyBorder="1" applyAlignment="1">
      <alignment horizontal="left" vertical="distributed" wrapText="1"/>
    </xf>
    <xf numFmtId="0" fontId="5" fillId="8" borderId="21" xfId="0" applyFont="1" applyFill="1" applyBorder="1" applyAlignment="1">
      <alignment horizontal="left" vertical="distributed" wrapText="1"/>
    </xf>
    <xf numFmtId="0" fontId="5" fillId="8" borderId="0" xfId="0" applyFont="1" applyFill="1" applyBorder="1" applyAlignment="1">
      <alignment horizontal="left" vertical="distributed" wrapText="1"/>
    </xf>
    <xf numFmtId="10" fontId="5" fillId="8" borderId="0" xfId="0" applyNumberFormat="1" applyFont="1" applyFill="1" applyBorder="1" applyAlignment="1">
      <alignment horizontal="left" vertical="distributed" wrapText="1"/>
    </xf>
    <xf numFmtId="10" fontId="6" fillId="8" borderId="27" xfId="0" applyNumberFormat="1" applyFont="1" applyFill="1" applyBorder="1" applyAlignment="1">
      <alignment horizontal="left" vertical="distributed" wrapText="1"/>
    </xf>
    <xf numFmtId="171" fontId="5" fillId="8" borderId="0" xfId="0" applyNumberFormat="1" applyFont="1" applyFill="1" applyBorder="1" applyAlignment="1">
      <alignment horizontal="left" vertical="distributed" wrapText="1"/>
    </xf>
    <xf numFmtId="171" fontId="5" fillId="8" borderId="27" xfId="0" applyNumberFormat="1" applyFont="1" applyFill="1" applyBorder="1" applyAlignment="1">
      <alignment horizontal="left" vertical="distributed" wrapText="1"/>
    </xf>
    <xf numFmtId="10" fontId="5" fillId="8" borderId="27" xfId="0" applyNumberFormat="1" applyFont="1" applyFill="1" applyBorder="1" applyAlignment="1">
      <alignment horizontal="left" vertical="distributed" wrapText="1"/>
    </xf>
    <xf numFmtId="0" fontId="5" fillId="8" borderId="27" xfId="0" applyFont="1" applyFill="1" applyBorder="1" applyAlignment="1">
      <alignment horizontal="left" vertical="distributed" wrapText="1"/>
    </xf>
    <xf numFmtId="0" fontId="6" fillId="8" borderId="21" xfId="0" applyFont="1" applyFill="1" applyBorder="1" applyAlignment="1">
      <alignment horizontal="left" vertical="distributed" wrapText="1"/>
    </xf>
    <xf numFmtId="0" fontId="5" fillId="8" borderId="17" xfId="0" applyFont="1" applyFill="1" applyBorder="1" applyAlignment="1">
      <alignment horizontal="left" vertical="distributed" wrapText="1"/>
    </xf>
    <xf numFmtId="0" fontId="5" fillId="8" borderId="18" xfId="0" applyFont="1" applyFill="1" applyBorder="1" applyAlignment="1">
      <alignment horizontal="left" vertical="distributed" wrapText="1"/>
    </xf>
    <xf numFmtId="174" fontId="5" fillId="8" borderId="18" xfId="0" applyNumberFormat="1" applyFont="1" applyFill="1" applyBorder="1" applyAlignment="1">
      <alignment horizontal="left" vertical="distributed" wrapText="1"/>
    </xf>
    <xf numFmtId="174" fontId="5" fillId="8" borderId="28" xfId="0" applyNumberFormat="1" applyFont="1" applyFill="1" applyBorder="1" applyAlignment="1">
      <alignment horizontal="left" vertical="distributed" wrapText="1"/>
    </xf>
    <xf numFmtId="0" fontId="5" fillId="8" borderId="19" xfId="0" applyFont="1" applyFill="1" applyBorder="1" applyAlignment="1">
      <alignment horizontal="left" vertical="distributed" wrapText="1"/>
    </xf>
    <xf numFmtId="0" fontId="5" fillId="0" borderId="22" xfId="0" applyFont="1" applyBorder="1"/>
    <xf numFmtId="168" fontId="5" fillId="0" borderId="23" xfId="0" applyNumberFormat="1" applyFont="1" applyBorder="1"/>
    <xf numFmtId="168" fontId="5" fillId="0" borderId="24" xfId="0" applyNumberFormat="1" applyFont="1" applyBorder="1"/>
    <xf numFmtId="0" fontId="5" fillId="0" borderId="20" xfId="0" applyFont="1" applyBorder="1"/>
    <xf numFmtId="168" fontId="5" fillId="0" borderId="21" xfId="0" applyNumberFormat="1" applyFont="1" applyBorder="1"/>
    <xf numFmtId="0" fontId="5" fillId="0" borderId="17" xfId="0" applyFont="1" applyBorder="1"/>
    <xf numFmtId="168" fontId="5" fillId="0" borderId="18" xfId="0" applyNumberFormat="1" applyFont="1" applyBorder="1"/>
    <xf numFmtId="168" fontId="5" fillId="0" borderId="19" xfId="0" applyNumberFormat="1" applyFont="1" applyBorder="1"/>
    <xf numFmtId="0" fontId="5" fillId="0" borderId="25" xfId="0" applyFont="1" applyBorder="1"/>
    <xf numFmtId="10" fontId="5" fillId="0" borderId="26" xfId="2" applyNumberFormat="1" applyFont="1" applyBorder="1"/>
    <xf numFmtId="175" fontId="5" fillId="0" borderId="19" xfId="0" applyNumberFormat="1" applyFont="1" applyBorder="1"/>
    <xf numFmtId="169" fontId="5" fillId="8" borderId="0" xfId="1" applyNumberFormat="1" applyFont="1" applyFill="1" applyBorder="1" applyAlignment="1">
      <alignment horizontal="center"/>
    </xf>
    <xf numFmtId="169" fontId="7" fillId="8" borderId="0" xfId="1" applyNumberFormat="1" applyFont="1" applyFill="1" applyBorder="1" applyAlignment="1">
      <alignment horizontal="center"/>
    </xf>
    <xf numFmtId="169" fontId="8" fillId="9" borderId="0" xfId="0" applyNumberFormat="1" applyFont="1" applyFill="1" applyBorder="1" applyAlignment="1">
      <alignment horizontal="center"/>
    </xf>
    <xf numFmtId="1" fontId="5" fillId="0" borderId="10" xfId="2" applyNumberFormat="1" applyFont="1" applyBorder="1"/>
    <xf numFmtId="1" fontId="5" fillId="0" borderId="10" xfId="0" applyNumberFormat="1" applyFont="1" applyBorder="1"/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</cellXfs>
  <cellStyles count="559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499" builtinId="9" hidden="1"/>
    <cellStyle name="Hipervínculo visitado" xfId="500" builtinId="9" hidden="1"/>
    <cellStyle name="Hipervínculo visitado" xfId="501" builtinId="9" hidden="1"/>
    <cellStyle name="Hipervínculo visitado" xfId="502" builtinId="9" hidden="1"/>
    <cellStyle name="Hipervínculo visitado" xfId="503" builtinId="9" hidden="1"/>
    <cellStyle name="Hipervínculo visitado" xfId="504" builtinId="9" hidden="1"/>
    <cellStyle name="Hipervínculo visitado" xfId="505" builtinId="9" hidden="1"/>
    <cellStyle name="Hipervínculo visitado" xfId="506" builtinId="9" hidden="1"/>
    <cellStyle name="Hipervínculo visitado" xfId="507" builtinId="9" hidden="1"/>
    <cellStyle name="Hipervínculo visitado" xfId="508" builtinId="9" hidden="1"/>
    <cellStyle name="Hipervínculo visitado" xfId="509" builtinId="9" hidden="1"/>
    <cellStyle name="Hipervínculo visitado" xfId="510" builtinId="9" hidden="1"/>
    <cellStyle name="Hipervínculo visitado" xfId="511" builtinId="9" hidden="1"/>
    <cellStyle name="Hipervínculo visitado" xfId="512" builtinId="9" hidden="1"/>
    <cellStyle name="Hipervínculo visitado" xfId="513" builtinId="9" hidden="1"/>
    <cellStyle name="Hipervínculo visitado" xfId="514" builtinId="9" hidden="1"/>
    <cellStyle name="Hipervínculo visitado" xfId="515" builtinId="9" hidden="1"/>
    <cellStyle name="Hipervínculo visitado" xfId="516" builtinId="9" hidden="1"/>
    <cellStyle name="Hipervínculo visitado" xfId="517" builtinId="9" hidden="1"/>
    <cellStyle name="Hipervínculo visitado" xfId="518" builtinId="9" hidden="1"/>
    <cellStyle name="Hipervínculo visitado" xfId="519" builtinId="9" hidden="1"/>
    <cellStyle name="Hipervínculo visitado" xfId="520" builtinId="9" hidden="1"/>
    <cellStyle name="Hipervínculo visitado" xfId="521" builtinId="9" hidden="1"/>
    <cellStyle name="Hipervínculo visitado" xfId="522" builtinId="9" hidden="1"/>
    <cellStyle name="Hipervínculo visitado" xfId="523" builtinId="9" hidden="1"/>
    <cellStyle name="Hipervínculo visitado" xfId="524" builtinId="9" hidden="1"/>
    <cellStyle name="Hipervínculo visitado" xfId="525" builtinId="9" hidden="1"/>
    <cellStyle name="Hipervínculo visitado" xfId="526" builtinId="9" hidden="1"/>
    <cellStyle name="Hipervínculo visitado" xfId="527" builtinId="9" hidden="1"/>
    <cellStyle name="Hipervínculo visitado" xfId="528" builtinId="9" hidden="1"/>
    <cellStyle name="Hipervínculo visitado" xfId="529" builtinId="9" hidden="1"/>
    <cellStyle name="Hipervínculo visitado" xfId="530" builtinId="9" hidden="1"/>
    <cellStyle name="Hipervínculo visitado" xfId="531" builtinId="9" hidden="1"/>
    <cellStyle name="Hipervínculo visitado" xfId="532" builtinId="9" hidden="1"/>
    <cellStyle name="Hipervínculo visitado" xfId="533" builtinId="9" hidden="1"/>
    <cellStyle name="Hipervínculo visitado" xfId="534" builtinId="9" hidden="1"/>
    <cellStyle name="Hipervínculo visitado" xfId="535" builtinId="9" hidden="1"/>
    <cellStyle name="Hipervínculo visitado" xfId="536" builtinId="9" hidden="1"/>
    <cellStyle name="Hipervínculo visitado" xfId="537" builtinId="9" hidden="1"/>
    <cellStyle name="Hipervínculo visitado" xfId="538" builtinId="9" hidden="1"/>
    <cellStyle name="Hipervínculo visitado" xfId="539" builtinId="9" hidden="1"/>
    <cellStyle name="Hipervínculo visitado" xfId="540" builtinId="9" hidden="1"/>
    <cellStyle name="Hipervínculo visitado" xfId="541" builtinId="9" hidden="1"/>
    <cellStyle name="Hipervínculo visitado" xfId="542" builtinId="9" hidden="1"/>
    <cellStyle name="Hipervínculo visitado" xfId="543" builtinId="9" hidden="1"/>
    <cellStyle name="Hipervínculo visitado" xfId="544" builtinId="9" hidden="1"/>
    <cellStyle name="Hipervínculo visitado" xfId="545" builtinId="9" hidden="1"/>
    <cellStyle name="Hipervínculo visitado" xfId="546" builtinId="9" hidden="1"/>
    <cellStyle name="Hipervínculo visitado" xfId="547" builtinId="9" hidden="1"/>
    <cellStyle name="Hipervínculo visitado" xfId="548" builtinId="9" hidden="1"/>
    <cellStyle name="Hipervínculo visitado" xfId="549" builtinId="9" hidden="1"/>
    <cellStyle name="Hipervínculo visitado" xfId="550" builtinId="9" hidden="1"/>
    <cellStyle name="Hipervínculo visitado" xfId="551" builtinId="9" hidden="1"/>
    <cellStyle name="Hipervínculo visitado" xfId="552" builtinId="9" hidden="1"/>
    <cellStyle name="Hipervínculo visitado" xfId="553" builtinId="9" hidden="1"/>
    <cellStyle name="Hipervínculo visitado" xfId="554" builtinId="9" hidden="1"/>
    <cellStyle name="Hipervínculo visitado" xfId="555" builtinId="9" hidden="1"/>
    <cellStyle name="Hipervínculo visitado" xfId="556" builtinId="9" hidden="1"/>
    <cellStyle name="Hipervínculo visitado" xfId="557" builtinId="9" hidden="1"/>
    <cellStyle name="Hipervínculo visitado" xfId="558" builtinId="9" hidden="1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BH127"/>
  <sheetViews>
    <sheetView showGridLines="0" tabSelected="1" zoomScale="68" zoomScaleNormal="68" zoomScalePageLayoutView="75" workbookViewId="0">
      <selection activeCell="AV14" sqref="AV14"/>
    </sheetView>
  </sheetViews>
  <sheetFormatPr baseColWidth="10" defaultColWidth="11.125" defaultRowHeight="15" outlineLevelCol="1" x14ac:dyDescent="0.2"/>
  <cols>
    <col min="1" max="1" width="1.75" style="1" bestFit="1" customWidth="1"/>
    <col min="2" max="2" width="8.75" style="1" customWidth="1"/>
    <col min="3" max="3" width="39.25" style="1" customWidth="1"/>
    <col min="4" max="4" width="9.875" style="1" hidden="1" customWidth="1" outlineLevel="1"/>
    <col min="5" max="9" width="11" style="1" hidden="1" customWidth="1" outlineLevel="1"/>
    <col min="10" max="10" width="12.625" style="1" hidden="1" customWidth="1" outlineLevel="1"/>
    <col min="11" max="11" width="11" style="1" hidden="1" customWidth="1" outlineLevel="1"/>
    <col min="12" max="16" width="12.625" style="1" hidden="1" customWidth="1" outlineLevel="1"/>
    <col min="17" max="17" width="13.75" style="1" bestFit="1" customWidth="1" collapsed="1"/>
    <col min="18" max="18" width="13.75" style="1" hidden="1" customWidth="1" outlineLevel="1"/>
    <col min="19" max="19" width="39.25" style="1" hidden="1" customWidth="1" outlineLevel="1"/>
    <col min="20" max="20" width="11" style="1" hidden="1" customWidth="1" outlineLevel="1"/>
    <col min="21" max="22" width="12.625" style="1" hidden="1" customWidth="1" outlineLevel="1"/>
    <col min="23" max="23" width="11" style="1" hidden="1" customWidth="1" outlineLevel="1"/>
    <col min="24" max="31" width="12.625" style="1" hidden="1" customWidth="1" outlineLevel="1"/>
    <col min="32" max="32" width="13.75" style="1" bestFit="1" customWidth="1" collapsed="1"/>
    <col min="33" max="33" width="13.75" style="1" hidden="1" customWidth="1" outlineLevel="1"/>
    <col min="34" max="34" width="39.25" style="1" hidden="1" customWidth="1" outlineLevel="1"/>
    <col min="35" max="46" width="12.625" style="1" hidden="1" customWidth="1" outlineLevel="1"/>
    <col min="47" max="47" width="13.75" style="1" bestFit="1" customWidth="1" collapsed="1"/>
    <col min="48" max="49" width="11.125" style="1"/>
    <col min="50" max="51" width="8.375" style="3" customWidth="1"/>
    <col min="52" max="52" width="11.125" style="1"/>
    <col min="53" max="55" width="8" style="1" customWidth="1"/>
    <col min="56" max="16384" width="11.125" style="1"/>
  </cols>
  <sheetData>
    <row r="1" spans="1:55" x14ac:dyDescent="0.2"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55" x14ac:dyDescent="0.2">
      <c r="C2" s="4"/>
      <c r="D2" s="4"/>
      <c r="S2" s="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H2" s="5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55" ht="15.75" x14ac:dyDescent="0.25">
      <c r="C3" s="6"/>
      <c r="D3" s="6"/>
      <c r="S3" s="7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H3" s="7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55" x14ac:dyDescent="0.2">
      <c r="C4" s="4"/>
      <c r="D4" s="4"/>
      <c r="S4" s="5">
        <v>2019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H4" s="5">
        <v>2020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55" ht="15.75" x14ac:dyDescent="0.25">
      <c r="C5" s="8" t="s">
        <v>133</v>
      </c>
      <c r="D5" s="9">
        <v>0</v>
      </c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10" t="s">
        <v>79</v>
      </c>
      <c r="S5" s="11"/>
      <c r="T5" s="12">
        <v>13</v>
      </c>
      <c r="U5" s="12">
        <v>14</v>
      </c>
      <c r="V5" s="12">
        <v>15</v>
      </c>
      <c r="W5" s="12">
        <v>16</v>
      </c>
      <c r="X5" s="12">
        <v>17</v>
      </c>
      <c r="Y5" s="12">
        <v>18</v>
      </c>
      <c r="Z5" s="12">
        <v>19</v>
      </c>
      <c r="AA5" s="12">
        <v>20</v>
      </c>
      <c r="AB5" s="12">
        <v>21</v>
      </c>
      <c r="AC5" s="12">
        <v>22</v>
      </c>
      <c r="AD5" s="12">
        <v>23</v>
      </c>
      <c r="AE5" s="12">
        <v>24</v>
      </c>
      <c r="AF5" s="13" t="s">
        <v>80</v>
      </c>
      <c r="AH5" s="11"/>
      <c r="AI5" s="12">
        <v>25</v>
      </c>
      <c r="AJ5" s="12">
        <v>26</v>
      </c>
      <c r="AK5" s="12">
        <v>27</v>
      </c>
      <c r="AL5" s="12">
        <v>28</v>
      </c>
      <c r="AM5" s="12">
        <v>29</v>
      </c>
      <c r="AN5" s="12">
        <v>30</v>
      </c>
      <c r="AO5" s="12">
        <v>31</v>
      </c>
      <c r="AP5" s="12">
        <v>32</v>
      </c>
      <c r="AQ5" s="12">
        <v>33</v>
      </c>
      <c r="AR5" s="12">
        <v>34</v>
      </c>
      <c r="AS5" s="12">
        <v>35</v>
      </c>
      <c r="AT5" s="12">
        <v>36</v>
      </c>
      <c r="AU5" s="13" t="s">
        <v>81</v>
      </c>
      <c r="AX5" s="14" t="s">
        <v>103</v>
      </c>
      <c r="AY5" s="14" t="s">
        <v>104</v>
      </c>
    </row>
    <row r="6" spans="1:55" x14ac:dyDescent="0.2">
      <c r="C6" s="15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S6" s="2"/>
      <c r="T6" s="19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1"/>
      <c r="AH6" s="2"/>
      <c r="AI6" s="19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1"/>
    </row>
    <row r="7" spans="1:55" ht="15.75" x14ac:dyDescent="0.25">
      <c r="C7" s="22" t="s">
        <v>1</v>
      </c>
      <c r="D7" s="23">
        <f>SUM(D8:D10)</f>
        <v>0</v>
      </c>
      <c r="E7" s="23">
        <f>SUM(E8:E10)</f>
        <v>437252.84539999999</v>
      </c>
      <c r="F7" s="23">
        <f t="shared" ref="F7:P7" si="0">SUM(F8:F10)</f>
        <v>516646.70400000003</v>
      </c>
      <c r="G7" s="23">
        <f t="shared" si="0"/>
        <v>600643.73271983478</v>
      </c>
      <c r="H7" s="23">
        <f t="shared" si="0"/>
        <v>491959.11100000003</v>
      </c>
      <c r="I7" s="23">
        <f t="shared" si="0"/>
        <v>646165.2435000001</v>
      </c>
      <c r="J7" s="23">
        <f t="shared" si="0"/>
        <v>941391.95150000008</v>
      </c>
      <c r="K7" s="23">
        <f t="shared" si="0"/>
        <v>704108.27094999992</v>
      </c>
      <c r="L7" s="23">
        <f t="shared" si="0"/>
        <v>898921.47796500009</v>
      </c>
      <c r="M7" s="23">
        <f t="shared" si="0"/>
        <v>1095252.963</v>
      </c>
      <c r="N7" s="23">
        <f t="shared" si="0"/>
        <v>1632387.6694999998</v>
      </c>
      <c r="O7" s="23">
        <f t="shared" si="0"/>
        <v>1588139.2138633749</v>
      </c>
      <c r="P7" s="23">
        <f t="shared" si="0"/>
        <v>2712524.8796375329</v>
      </c>
      <c r="Q7" s="24">
        <f>SUM(E7:P7)</f>
        <v>12265394.063035745</v>
      </c>
      <c r="S7" s="23" t="s">
        <v>1</v>
      </c>
      <c r="T7" s="23">
        <f>SUM(T8:T10)</f>
        <v>708019.05048000009</v>
      </c>
      <c r="U7" s="23">
        <f t="shared" ref="U7:AE7" si="1">SUM(U8:U10)</f>
        <v>828853.74180000008</v>
      </c>
      <c r="V7" s="23">
        <f t="shared" si="1"/>
        <v>949683.61707371904</v>
      </c>
      <c r="W7" s="23">
        <f t="shared" si="1"/>
        <v>777243.48869999987</v>
      </c>
      <c r="X7" s="23">
        <f t="shared" si="1"/>
        <v>1039268.8939500001</v>
      </c>
      <c r="Y7" s="23">
        <f t="shared" si="1"/>
        <v>1498811.29755</v>
      </c>
      <c r="Z7" s="23">
        <f t="shared" si="1"/>
        <v>1126263.3756149998</v>
      </c>
      <c r="AA7" s="23">
        <f t="shared" si="1"/>
        <v>1425013.0425404999</v>
      </c>
      <c r="AB7" s="23">
        <f t="shared" si="1"/>
        <v>1713094.2170999998</v>
      </c>
      <c r="AC7" s="23">
        <f t="shared" si="1"/>
        <v>2666100.8881499995</v>
      </c>
      <c r="AD7" s="23">
        <f t="shared" si="1"/>
        <v>2409968.2160721873</v>
      </c>
      <c r="AE7" s="23">
        <f t="shared" si="1"/>
        <v>4267955.0947709307</v>
      </c>
      <c r="AF7" s="24">
        <f>SUM(T7:AE7)</f>
        <v>19410274.923802335</v>
      </c>
      <c r="AH7" s="23" t="s">
        <v>1</v>
      </c>
      <c r="AI7" s="23">
        <f>SUM(AI8:AI10)</f>
        <v>1161259.441776</v>
      </c>
      <c r="AJ7" s="23">
        <f t="shared" ref="AJ7:AT7" si="2">SUM(AJ8:AJ10)</f>
        <v>1349716.5750599999</v>
      </c>
      <c r="AK7" s="23">
        <f t="shared" si="2"/>
        <v>1528769.274765322</v>
      </c>
      <c r="AL7" s="23">
        <f t="shared" si="2"/>
        <v>1250409.53079</v>
      </c>
      <c r="AM7" s="23">
        <f t="shared" si="2"/>
        <v>1695702.6957150002</v>
      </c>
      <c r="AN7" s="23">
        <f t="shared" si="2"/>
        <v>2426113.1818349999</v>
      </c>
      <c r="AO7" s="23">
        <f t="shared" si="2"/>
        <v>1829782.9165454996</v>
      </c>
      <c r="AP7" s="23">
        <f t="shared" si="2"/>
        <v>2298738.0083188498</v>
      </c>
      <c r="AQ7" s="23">
        <f t="shared" si="2"/>
        <v>2733657.1850700001</v>
      </c>
      <c r="AR7" s="23">
        <f t="shared" si="2"/>
        <v>4401621.7298549991</v>
      </c>
      <c r="AS7" s="23">
        <f t="shared" si="2"/>
        <v>3749103.8303280585</v>
      </c>
      <c r="AT7" s="23">
        <f t="shared" si="2"/>
        <v>6843519.0203751326</v>
      </c>
      <c r="AU7" s="24">
        <f>SUM(AI7:AT7)</f>
        <v>31268393.390433859</v>
      </c>
      <c r="AX7" s="25">
        <f>+AF7/Q7-1</f>
        <v>0.58252354747403823</v>
      </c>
      <c r="AY7" s="25">
        <f>+AU7/AF7-1</f>
        <v>0.61091965534657167</v>
      </c>
      <c r="BA7" s="26">
        <f>+Q7/Q$7</f>
        <v>1</v>
      </c>
      <c r="BB7" s="26">
        <f>+AF7/AF$7</f>
        <v>1</v>
      </c>
      <c r="BC7" s="26">
        <f>+AU7/AU$7</f>
        <v>1</v>
      </c>
    </row>
    <row r="8" spans="1:55" x14ac:dyDescent="0.2">
      <c r="A8" s="27"/>
      <c r="C8" s="28" t="s">
        <v>2</v>
      </c>
      <c r="D8" s="29">
        <v>0</v>
      </c>
      <c r="E8" s="29">
        <f>Ventas!S26</f>
        <v>349172.64</v>
      </c>
      <c r="F8" s="29">
        <f>Ventas!T26</f>
        <v>397862.28</v>
      </c>
      <c r="G8" s="29">
        <f>Ventas!U26</f>
        <v>436021.21487603307</v>
      </c>
      <c r="H8" s="29">
        <f>Ventas!V26</f>
        <v>355985.82</v>
      </c>
      <c r="I8" s="29">
        <f>Ventas!W26</f>
        <v>502610.67000000004</v>
      </c>
      <c r="J8" s="29">
        <f>Ventas!X26</f>
        <v>703125.63</v>
      </c>
      <c r="K8" s="29">
        <f>Ventas!Y26</f>
        <v>535873.23899999994</v>
      </c>
      <c r="L8" s="29">
        <f>Ventas!Z26</f>
        <v>659632.8933</v>
      </c>
      <c r="M8" s="29">
        <f>Ventas!AA26</f>
        <v>759601.26</v>
      </c>
      <c r="N8" s="29">
        <f>Ventas!AB26</f>
        <v>1347115.5899999999</v>
      </c>
      <c r="O8" s="29">
        <f>Ventas!AC26</f>
        <v>960383.16083073814</v>
      </c>
      <c r="P8" s="29">
        <f>Ventas!AD26</f>
        <v>1929381.4080112218</v>
      </c>
      <c r="Q8" s="24">
        <f>SUM(E8:P8)</f>
        <v>8936765.806017993</v>
      </c>
      <c r="S8" s="29" t="s">
        <v>2</v>
      </c>
      <c r="T8" s="29">
        <f>Ventas!AH26</f>
        <v>593593.48800000001</v>
      </c>
      <c r="U8" s="29">
        <f>Ventas!AI26</f>
        <v>676365.87600000005</v>
      </c>
      <c r="V8" s="29">
        <f>Ventas!AJ26</f>
        <v>741236.06528925616</v>
      </c>
      <c r="W8" s="29">
        <f>Ventas!AK26</f>
        <v>605175.89399999997</v>
      </c>
      <c r="X8" s="29">
        <f>Ventas!AL26</f>
        <v>854438.13900000008</v>
      </c>
      <c r="Y8" s="29">
        <f>Ventas!AM26</f>
        <v>1195313.571</v>
      </c>
      <c r="Z8" s="29">
        <f>Ventas!AN26</f>
        <v>910984.50629999989</v>
      </c>
      <c r="AA8" s="29">
        <f>Ventas!AO26</f>
        <v>1121375.9186100001</v>
      </c>
      <c r="AB8" s="29">
        <f>Ventas!AP26</f>
        <v>1291322.142</v>
      </c>
      <c r="AC8" s="29">
        <f>Ventas!AQ26</f>
        <v>2290096.5029999996</v>
      </c>
      <c r="AD8" s="29">
        <f>Ventas!AR26</f>
        <v>1632651.3734122547</v>
      </c>
      <c r="AE8" s="29">
        <f>Ventas!AS26</f>
        <v>3279948.3936190768</v>
      </c>
      <c r="AF8" s="24">
        <f>SUM(T8:AE8)</f>
        <v>15192501.870230587</v>
      </c>
      <c r="AH8" s="29" t="s">
        <v>2</v>
      </c>
      <c r="AI8" s="29">
        <f>Ventas!AW26</f>
        <v>1009108.9296</v>
      </c>
      <c r="AJ8" s="29">
        <f>Ventas!AX26</f>
        <v>1149821.9892</v>
      </c>
      <c r="AK8" s="29">
        <f>Ventas!AY26</f>
        <v>1260101.3109917354</v>
      </c>
      <c r="AL8" s="29">
        <f>Ventas!AZ26</f>
        <v>1028799.0197999999</v>
      </c>
      <c r="AM8" s="29">
        <f>Ventas!BA26</f>
        <v>1452544.8363000001</v>
      </c>
      <c r="AN8" s="29">
        <f>Ventas!BB26</f>
        <v>2032033.0707</v>
      </c>
      <c r="AO8" s="29">
        <f>Ventas!BC26</f>
        <v>1548673.6607099997</v>
      </c>
      <c r="AP8" s="29">
        <f>Ventas!BD26</f>
        <v>1906339.0616369999</v>
      </c>
      <c r="AQ8" s="29">
        <f>Ventas!BE26</f>
        <v>2195247.6414000001</v>
      </c>
      <c r="AR8" s="29">
        <f>Ventas!BF26</f>
        <v>3893164.0550999991</v>
      </c>
      <c r="AS8" s="29">
        <f>Ventas!BG26</f>
        <v>2775507.3348008329</v>
      </c>
      <c r="AT8" s="29">
        <f>Ventas!BH26</f>
        <v>5575912.2691524308</v>
      </c>
      <c r="AU8" s="24">
        <f>SUM(AI8:AT8)</f>
        <v>25827253.179391995</v>
      </c>
      <c r="AX8" s="25">
        <f>+AF8/Q8-1</f>
        <v>0.7</v>
      </c>
      <c r="AY8" s="25">
        <f>+AU8/AF8-1</f>
        <v>0.69999999999999973</v>
      </c>
      <c r="BA8" s="26">
        <f>+Q8/Q$7</f>
        <v>0.72861628090293085</v>
      </c>
      <c r="BB8" s="26">
        <f>+AF8/AF$7</f>
        <v>0.78270410542204127</v>
      </c>
      <c r="BC8" s="26">
        <f>+AU8/AU$7</f>
        <v>0.82598593592255021</v>
      </c>
    </row>
    <row r="9" spans="1:55" x14ac:dyDescent="0.2">
      <c r="C9" s="28" t="s">
        <v>3</v>
      </c>
      <c r="D9" s="29">
        <v>0</v>
      </c>
      <c r="E9" s="29">
        <f>Ventas!S27</f>
        <v>70621.573400000008</v>
      </c>
      <c r="F9" s="29">
        <f>Ventas!T27</f>
        <v>98891.31</v>
      </c>
      <c r="G9" s="29">
        <f>Ventas!U27</f>
        <v>142821.4571</v>
      </c>
      <c r="H9" s="29">
        <f>Ventas!V27</f>
        <v>118174</v>
      </c>
      <c r="I9" s="29">
        <f>Ventas!W27</f>
        <v>118424.04</v>
      </c>
      <c r="J9" s="29">
        <f>Ventas!X27</f>
        <v>203110.04</v>
      </c>
      <c r="K9" s="29">
        <f>Ventas!Y27</f>
        <v>141441.37</v>
      </c>
      <c r="L9" s="29">
        <f>Ventas!Z27</f>
        <v>206306.94</v>
      </c>
      <c r="M9" s="29">
        <f>Ventas!AA27</f>
        <v>297671.64</v>
      </c>
      <c r="N9" s="29">
        <f>Ventas!AB27</f>
        <v>217916.30000000002</v>
      </c>
      <c r="O9" s="29">
        <f>Ventas!AC27</f>
        <v>579736.89499109995</v>
      </c>
      <c r="P9" s="29">
        <f>Ventas!AD27</f>
        <v>686674.40122574999</v>
      </c>
      <c r="Q9" s="24">
        <f>SUM(E9:P9)</f>
        <v>2881789.9667168502</v>
      </c>
      <c r="S9" s="29" t="s">
        <v>3</v>
      </c>
      <c r="T9" s="29">
        <f>Ventas!AH27</f>
        <v>84745.888080000004</v>
      </c>
      <c r="U9" s="29">
        <f>Ventas!AI27</f>
        <v>118669.57199999999</v>
      </c>
      <c r="V9" s="29">
        <f>Ventas!AJ27</f>
        <v>171385.74851999999</v>
      </c>
      <c r="W9" s="29">
        <f>Ventas!AK27</f>
        <v>141808.79999999999</v>
      </c>
      <c r="X9" s="29">
        <f>Ventas!AL27</f>
        <v>142108.848</v>
      </c>
      <c r="Y9" s="29">
        <f>Ventas!AM27</f>
        <v>243732.04800000001</v>
      </c>
      <c r="Z9" s="29">
        <f>Ventas!AN27</f>
        <v>169729.644</v>
      </c>
      <c r="AA9" s="29">
        <f>Ventas!AO27</f>
        <v>247568.32799999998</v>
      </c>
      <c r="AB9" s="29">
        <f>Ventas!AP27</f>
        <v>357205.96799999999</v>
      </c>
      <c r="AC9" s="29">
        <f>Ventas!AQ27</f>
        <v>261499.56</v>
      </c>
      <c r="AD9" s="29">
        <f>Ventas!AR27</f>
        <v>695684.27398931992</v>
      </c>
      <c r="AE9" s="29">
        <f>Ventas!AS27</f>
        <v>824009.28147089994</v>
      </c>
      <c r="AF9" s="24">
        <f>SUM(T9:AE9)</f>
        <v>3458147.9600602197</v>
      </c>
      <c r="AH9" s="29" t="s">
        <v>3</v>
      </c>
      <c r="AI9" s="29">
        <f>Ventas!AW27</f>
        <v>101695.06569600001</v>
      </c>
      <c r="AJ9" s="29">
        <f>Ventas!AX27</f>
        <v>142403.48639999997</v>
      </c>
      <c r="AK9" s="29">
        <f>Ventas!AY27</f>
        <v>205662.89822399998</v>
      </c>
      <c r="AL9" s="29">
        <f>Ventas!AZ27</f>
        <v>170170.55999999997</v>
      </c>
      <c r="AM9" s="29">
        <f>Ventas!BA27</f>
        <v>170530.6176</v>
      </c>
      <c r="AN9" s="29">
        <f>Ventas!BB27</f>
        <v>292478.45760000002</v>
      </c>
      <c r="AO9" s="29">
        <f>Ventas!BC27</f>
        <v>203675.57279999999</v>
      </c>
      <c r="AP9" s="29">
        <f>Ventas!BD27</f>
        <v>297081.99359999999</v>
      </c>
      <c r="AQ9" s="29">
        <f>Ventas!BE27</f>
        <v>428647.16159999999</v>
      </c>
      <c r="AR9" s="29">
        <f>Ventas!BF27</f>
        <v>313799.47200000001</v>
      </c>
      <c r="AS9" s="29">
        <f>Ventas!BG27</f>
        <v>834821.1287871839</v>
      </c>
      <c r="AT9" s="29">
        <f>Ventas!BH27</f>
        <v>988811.13776507985</v>
      </c>
      <c r="AU9" s="24">
        <f>SUM(AI9:AT9)</f>
        <v>4149777.5520722633</v>
      </c>
      <c r="AX9" s="25">
        <f>+AF9/Q9-1</f>
        <v>0.19999999999999973</v>
      </c>
      <c r="AY9" s="25">
        <f>+AU9/AF9-1</f>
        <v>0.19999999999999996</v>
      </c>
      <c r="BA9" s="26">
        <f>+Q9/Q$7</f>
        <v>0.2349529050519224</v>
      </c>
      <c r="BB9" s="26">
        <f>+AF9/AF$7</f>
        <v>0.17816068930685672</v>
      </c>
      <c r="BC9" s="26">
        <f>+AU9/AU$7</f>
        <v>0.13271476728132223</v>
      </c>
    </row>
    <row r="10" spans="1:55" x14ac:dyDescent="0.2">
      <c r="C10" s="28" t="s">
        <v>4</v>
      </c>
      <c r="D10" s="29">
        <v>0</v>
      </c>
      <c r="E10" s="29">
        <f>Ventas!S28</f>
        <v>17458.632000000001</v>
      </c>
      <c r="F10" s="29">
        <f>Ventas!T28</f>
        <v>19893.114000000001</v>
      </c>
      <c r="G10" s="29">
        <f>Ventas!U28</f>
        <v>21801.060743801649</v>
      </c>
      <c r="H10" s="29">
        <f>Ventas!V28</f>
        <v>17799.290999999997</v>
      </c>
      <c r="I10" s="29">
        <f>Ventas!W28</f>
        <v>25130.533500000001</v>
      </c>
      <c r="J10" s="29">
        <f>Ventas!X28</f>
        <v>35156.281499999997</v>
      </c>
      <c r="K10" s="29">
        <f>Ventas!Y28</f>
        <v>26793.661949999994</v>
      </c>
      <c r="L10" s="29">
        <f>Ventas!Z28</f>
        <v>32981.644664999993</v>
      </c>
      <c r="M10" s="29">
        <f>Ventas!AA28</f>
        <v>37980.062999999995</v>
      </c>
      <c r="N10" s="29">
        <f>Ventas!AB28</f>
        <v>67355.779499999975</v>
      </c>
      <c r="O10" s="29">
        <f>Ventas!AC28</f>
        <v>48019.158041536903</v>
      </c>
      <c r="P10" s="29">
        <f>Ventas!AD28</f>
        <v>96469.070400561075</v>
      </c>
      <c r="Q10" s="24">
        <f>SUM(E10:P10)</f>
        <v>446838.29030089965</v>
      </c>
      <c r="S10" s="29" t="s">
        <v>4</v>
      </c>
      <c r="T10" s="29">
        <f>Ventas!AH28</f>
        <v>29679.6744</v>
      </c>
      <c r="U10" s="29">
        <f>Ventas!AI28</f>
        <v>33818.293799999999</v>
      </c>
      <c r="V10" s="29">
        <f>Ventas!AJ28</f>
        <v>37061.803264462804</v>
      </c>
      <c r="W10" s="29">
        <f>Ventas!AK28</f>
        <v>30258.794699999999</v>
      </c>
      <c r="X10" s="29">
        <f>Ventas!AL28</f>
        <v>42721.906950000004</v>
      </c>
      <c r="Y10" s="29">
        <f>Ventas!AM28</f>
        <v>59765.678550000004</v>
      </c>
      <c r="Z10" s="29">
        <f>Ventas!AN28</f>
        <v>45549.225314999996</v>
      </c>
      <c r="AA10" s="29">
        <f>Ventas!AO28</f>
        <v>56068.795930500004</v>
      </c>
      <c r="AB10" s="29">
        <f>Ventas!AP28</f>
        <v>64566.107100000001</v>
      </c>
      <c r="AC10" s="29">
        <f>Ventas!AQ28</f>
        <v>114504.82514999999</v>
      </c>
      <c r="AD10" s="29">
        <f>Ventas!AR28</f>
        <v>81632.568670612745</v>
      </c>
      <c r="AE10" s="29">
        <f>Ventas!AS28</f>
        <v>163997.41968095384</v>
      </c>
      <c r="AF10" s="24">
        <f>SUM(T10:AE10)</f>
        <v>759625.09351152938</v>
      </c>
      <c r="AH10" s="29" t="s">
        <v>4</v>
      </c>
      <c r="AI10" s="29">
        <f>Ventas!AW28</f>
        <v>50455.446480000006</v>
      </c>
      <c r="AJ10" s="29">
        <f>Ventas!AX28</f>
        <v>57491.099459999998</v>
      </c>
      <c r="AK10" s="29">
        <f>Ventas!AY28</f>
        <v>63005.065549586769</v>
      </c>
      <c r="AL10" s="29">
        <f>Ventas!AZ28</f>
        <v>51439.950989999998</v>
      </c>
      <c r="AM10" s="29">
        <f>Ventas!BA28</f>
        <v>72627.241815000016</v>
      </c>
      <c r="AN10" s="29">
        <f>Ventas!BB28</f>
        <v>101601.653535</v>
      </c>
      <c r="AO10" s="29">
        <f>Ventas!BC28</f>
        <v>77433.683035499998</v>
      </c>
      <c r="AP10" s="29">
        <f>Ventas!BD28</f>
        <v>95316.953081849992</v>
      </c>
      <c r="AQ10" s="29">
        <f>Ventas!BE28</f>
        <v>109762.38207000001</v>
      </c>
      <c r="AR10" s="29">
        <f>Ventas!BF28</f>
        <v>194658.20275499998</v>
      </c>
      <c r="AS10" s="29">
        <f>Ventas!BG28</f>
        <v>138775.36674004165</v>
      </c>
      <c r="AT10" s="29">
        <f>Ventas!BH28</f>
        <v>278795.61345762154</v>
      </c>
      <c r="AU10" s="24">
        <f>SUM(AI10:AT10)</f>
        <v>1291362.6589696</v>
      </c>
      <c r="AX10" s="25">
        <f>+AF10/Q10-1</f>
        <v>0.7</v>
      </c>
      <c r="AY10" s="25">
        <f>+AU10/AF10-1</f>
        <v>0.7</v>
      </c>
      <c r="BA10" s="26">
        <f>+Q10/Q$7</f>
        <v>3.6430814045146545E-2</v>
      </c>
      <c r="BB10" s="26">
        <f>+AF10/AF$7</f>
        <v>3.9135205271102064E-2</v>
      </c>
      <c r="BC10" s="26">
        <f>+AU10/AU$7</f>
        <v>4.1299296796127517E-2</v>
      </c>
    </row>
    <row r="11" spans="1:55" x14ac:dyDescent="0.2">
      <c r="C11" s="28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30"/>
      <c r="Q11" s="24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30"/>
      <c r="AF11" s="24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30"/>
      <c r="AU11" s="24"/>
    </row>
    <row r="12" spans="1:55" ht="15.75" x14ac:dyDescent="0.25">
      <c r="C12" s="31" t="s">
        <v>6</v>
      </c>
      <c r="D12" s="23">
        <f>SUM(D14:D20)</f>
        <v>0</v>
      </c>
      <c r="E12" s="23">
        <f>SUM(E14:E20)</f>
        <v>343799.89921159146</v>
      </c>
      <c r="F12" s="23">
        <f t="shared" ref="F12:P12" si="3">SUM(F14:F20)</f>
        <v>405407.00834079186</v>
      </c>
      <c r="G12" s="23">
        <f t="shared" si="3"/>
        <v>469843.41928597505</v>
      </c>
      <c r="H12" s="23">
        <f t="shared" si="3"/>
        <v>384763.3841634799</v>
      </c>
      <c r="I12" s="23">
        <f t="shared" si="3"/>
        <v>507317.28759783122</v>
      </c>
      <c r="J12" s="23">
        <f t="shared" si="3"/>
        <v>737486.13280819135</v>
      </c>
      <c r="K12" s="23">
        <f t="shared" si="3"/>
        <v>552152.88672233047</v>
      </c>
      <c r="L12" s="23">
        <f t="shared" si="3"/>
        <v>703560.15084422752</v>
      </c>
      <c r="M12" s="23">
        <f t="shared" si="3"/>
        <v>854770.71240487928</v>
      </c>
      <c r="N12" s="23">
        <f t="shared" si="3"/>
        <v>1285923.7737567339</v>
      </c>
      <c r="O12" s="23">
        <f t="shared" si="3"/>
        <v>1231590.8580917479</v>
      </c>
      <c r="P12" s="23">
        <f t="shared" si="3"/>
        <v>2119618.8498436809</v>
      </c>
      <c r="Q12" s="24">
        <f>SUM(E12:P12)</f>
        <v>9596234.3630714603</v>
      </c>
      <c r="S12" s="23" t="s">
        <v>6</v>
      </c>
      <c r="T12" s="23">
        <f>SUM(T14:T20)</f>
        <v>558264.0349636696</v>
      </c>
      <c r="U12" s="23">
        <f t="shared" ref="U12:AE12" si="4">SUM(U14:U20)</f>
        <v>652509.97365647007</v>
      </c>
      <c r="V12" s="23">
        <f t="shared" si="4"/>
        <v>745756.7797715005</v>
      </c>
      <c r="W12" s="23">
        <f t="shared" si="4"/>
        <v>610263.24790905591</v>
      </c>
      <c r="X12" s="23">
        <f t="shared" si="4"/>
        <v>818512.13593767735</v>
      </c>
      <c r="Y12" s="23">
        <f t="shared" si="4"/>
        <v>1178386.4347587496</v>
      </c>
      <c r="Z12" s="23">
        <f t="shared" si="4"/>
        <v>886194.79272967263</v>
      </c>
      <c r="AA12" s="23">
        <f t="shared" si="4"/>
        <v>1119526.4332608702</v>
      </c>
      <c r="AB12" s="23">
        <f t="shared" si="4"/>
        <v>1342694.3070636948</v>
      </c>
      <c r="AC12" s="23">
        <f t="shared" si="4"/>
        <v>2105238.3103656401</v>
      </c>
      <c r="AD12" s="23">
        <f t="shared" si="4"/>
        <v>1878661.5565941907</v>
      </c>
      <c r="AE12" s="23">
        <f t="shared" si="4"/>
        <v>3348642.6112729716</v>
      </c>
      <c r="AF12" s="24">
        <f>SUM(T12:AE12)</f>
        <v>15244650.618284164</v>
      </c>
      <c r="AH12" s="23" t="s">
        <v>6</v>
      </c>
      <c r="AI12" s="23">
        <f>SUM(AI14:AI20)</f>
        <v>917613.90700299572</v>
      </c>
      <c r="AJ12" s="23">
        <f t="shared" ref="AJ12:AT12" si="5">SUM(AJ14:AJ20)</f>
        <v>1065248.6265885483</v>
      </c>
      <c r="AK12" s="23">
        <f t="shared" si="5"/>
        <v>1204214.0859939626</v>
      </c>
      <c r="AL12" s="23">
        <f t="shared" si="5"/>
        <v>984846.11524276307</v>
      </c>
      <c r="AM12" s="23">
        <f t="shared" si="5"/>
        <v>1338757.9275196891</v>
      </c>
      <c r="AN12" s="23">
        <f t="shared" si="5"/>
        <v>1912848.9498716635</v>
      </c>
      <c r="AO12" s="23">
        <f t="shared" si="5"/>
        <v>1443573.0100024964</v>
      </c>
      <c r="AP12" s="23">
        <f t="shared" si="5"/>
        <v>1811363.9487342995</v>
      </c>
      <c r="AQ12" s="23">
        <f t="shared" si="5"/>
        <v>2150081.2371787624</v>
      </c>
      <c r="AR12" s="23">
        <f t="shared" si="5"/>
        <v>3481906.6015966199</v>
      </c>
      <c r="AS12" s="23">
        <f t="shared" si="5"/>
        <v>2935673.1636159886</v>
      </c>
      <c r="AT12" s="23">
        <f t="shared" si="5"/>
        <v>5387041.1190105071</v>
      </c>
      <c r="AU12" s="24">
        <f>SUM(AI12:AT12)</f>
        <v>24633168.6923583</v>
      </c>
      <c r="AX12" s="25">
        <f>+AF12/Q12-1</f>
        <v>0.58860757683754805</v>
      </c>
      <c r="AY12" s="25">
        <f>+AU12/AF12-1</f>
        <v>0.61585655907480841</v>
      </c>
      <c r="BA12" s="26">
        <f>+Q12/Q$7</f>
        <v>0.78238288258439737</v>
      </c>
      <c r="BB12" s="26">
        <f>+AF12/AF$7</f>
        <v>0.78539076227045246</v>
      </c>
      <c r="BC12" s="26">
        <f>+AU12/AU$7</f>
        <v>0.78779770948815309</v>
      </c>
    </row>
    <row r="13" spans="1:55" x14ac:dyDescent="0.2">
      <c r="C13" s="32" t="s">
        <v>7</v>
      </c>
      <c r="D13" s="33"/>
      <c r="E13" s="33">
        <f t="shared" ref="E13:P13" si="6">E12/E7</f>
        <v>0.78627252590450836</v>
      </c>
      <c r="F13" s="33">
        <f t="shared" si="6"/>
        <v>0.78468904418055052</v>
      </c>
      <c r="G13" s="33">
        <f t="shared" si="6"/>
        <v>0.78223311705664555</v>
      </c>
      <c r="H13" s="33">
        <f t="shared" si="6"/>
        <v>0.78210439762234607</v>
      </c>
      <c r="I13" s="33">
        <f t="shared" si="6"/>
        <v>0.78512004893657072</v>
      </c>
      <c r="J13" s="33">
        <f t="shared" si="6"/>
        <v>0.78339965795659483</v>
      </c>
      <c r="K13" s="33">
        <f t="shared" si="6"/>
        <v>0.78418747443110193</v>
      </c>
      <c r="L13" s="33">
        <f t="shared" si="6"/>
        <v>0.78267142135369128</v>
      </c>
      <c r="M13" s="33">
        <f t="shared" si="6"/>
        <v>0.78043223007001283</v>
      </c>
      <c r="N13" s="33">
        <f t="shared" si="6"/>
        <v>0.7877563631380603</v>
      </c>
      <c r="O13" s="33">
        <f t="shared" si="6"/>
        <v>0.77549300926568498</v>
      </c>
      <c r="P13" s="30">
        <f t="shared" si="6"/>
        <v>0.78141913674425711</v>
      </c>
      <c r="Q13" s="34"/>
      <c r="S13" s="33" t="s">
        <v>7</v>
      </c>
      <c r="T13" s="33">
        <v>0.76270000000000004</v>
      </c>
      <c r="U13" s="33">
        <v>0.76119999999999999</v>
      </c>
      <c r="V13" s="33">
        <v>0.75919999999999999</v>
      </c>
      <c r="W13" s="33">
        <v>0.75880000000000003</v>
      </c>
      <c r="X13" s="33">
        <v>0.76149999999999995</v>
      </c>
      <c r="Y13" s="33">
        <v>0.76</v>
      </c>
      <c r="Z13" s="33">
        <v>0.76100000000000001</v>
      </c>
      <c r="AA13" s="33">
        <v>0.75919999999999999</v>
      </c>
      <c r="AB13" s="33">
        <v>0.75729999999999997</v>
      </c>
      <c r="AC13" s="33">
        <v>0.76419999999999999</v>
      </c>
      <c r="AD13" s="33">
        <v>0.75349999999999995</v>
      </c>
      <c r="AE13" s="35">
        <v>0.75760000000000005</v>
      </c>
      <c r="AF13" s="34"/>
      <c r="AH13" s="33" t="s">
        <v>7</v>
      </c>
      <c r="AI13" s="33">
        <v>0.76270000000000004</v>
      </c>
      <c r="AJ13" s="33">
        <v>0.76119999999999999</v>
      </c>
      <c r="AK13" s="33">
        <v>0.75919999999999999</v>
      </c>
      <c r="AL13" s="33">
        <v>0.75880000000000003</v>
      </c>
      <c r="AM13" s="33">
        <v>0.76149999999999995</v>
      </c>
      <c r="AN13" s="33">
        <v>0.76</v>
      </c>
      <c r="AO13" s="33">
        <v>0.76100000000000001</v>
      </c>
      <c r="AP13" s="33">
        <v>0.75919999999999999</v>
      </c>
      <c r="AQ13" s="33">
        <v>0.75729999999999997</v>
      </c>
      <c r="AR13" s="33">
        <v>0.76419999999999999</v>
      </c>
      <c r="AS13" s="33">
        <v>0.75349999999999995</v>
      </c>
      <c r="AT13" s="35">
        <v>0.75760000000000005</v>
      </c>
      <c r="AU13" s="34"/>
    </row>
    <row r="14" spans="1:55" x14ac:dyDescent="0.2">
      <c r="C14" s="28" t="s">
        <v>8</v>
      </c>
      <c r="D14" s="23">
        <f>D75+D76</f>
        <v>0</v>
      </c>
      <c r="E14" s="23">
        <f>E75+E76</f>
        <v>293855.94938000001</v>
      </c>
      <c r="F14" s="23">
        <f t="shared" ref="F14:P14" si="7">F75+F76</f>
        <v>347727.51300000004</v>
      </c>
      <c r="G14" s="23">
        <f t="shared" si="7"/>
        <v>405189.87038322317</v>
      </c>
      <c r="H14" s="23">
        <f t="shared" si="7"/>
        <v>331911.87399999995</v>
      </c>
      <c r="I14" s="23">
        <f t="shared" si="7"/>
        <v>434724.29699999996</v>
      </c>
      <c r="J14" s="23">
        <f t="shared" si="7"/>
        <v>634364.96900000004</v>
      </c>
      <c r="K14" s="23">
        <f t="shared" si="7"/>
        <v>474120.22629999992</v>
      </c>
      <c r="L14" s="23">
        <f t="shared" si="7"/>
        <v>606157.88330999995</v>
      </c>
      <c r="M14" s="23">
        <f t="shared" si="7"/>
        <v>740091.03</v>
      </c>
      <c r="N14" s="23">
        <f t="shared" si="7"/>
        <v>1095522.3229999999</v>
      </c>
      <c r="O14" s="23">
        <f t="shared" si="7"/>
        <v>1078084.0390752866</v>
      </c>
      <c r="P14" s="23">
        <f t="shared" si="7"/>
        <v>1831239.0664658803</v>
      </c>
      <c r="Q14" s="24">
        <f t="shared" ref="Q14:Q20" si="8">SUM(E14:P14)</f>
        <v>8272989.0409143902</v>
      </c>
      <c r="S14" s="23" t="s">
        <v>8</v>
      </c>
      <c r="T14" s="23">
        <f>T75+T76</f>
        <v>474837.56325599994</v>
      </c>
      <c r="U14" s="23">
        <f t="shared" ref="U14:AE14" si="9">U75+U76</f>
        <v>556524.81359999999</v>
      </c>
      <c r="V14" s="23">
        <f t="shared" si="9"/>
        <v>638835.2696664792</v>
      </c>
      <c r="W14" s="23">
        <f t="shared" si="9"/>
        <v>522889.28579999995</v>
      </c>
      <c r="X14" s="23">
        <f t="shared" si="9"/>
        <v>697582.8909</v>
      </c>
      <c r="Y14" s="23">
        <f t="shared" si="9"/>
        <v>1007331.9332999999</v>
      </c>
      <c r="Z14" s="23">
        <f t="shared" si="9"/>
        <v>756499.90520999988</v>
      </c>
      <c r="AA14" s="23">
        <f t="shared" si="9"/>
        <v>958260.97262699995</v>
      </c>
      <c r="AB14" s="23">
        <f t="shared" si="9"/>
        <v>1153969.6769999999</v>
      </c>
      <c r="AC14" s="23">
        <f t="shared" si="9"/>
        <v>1786117.2440999995</v>
      </c>
      <c r="AD14" s="23">
        <f t="shared" si="9"/>
        <v>1629834.9531811019</v>
      </c>
      <c r="AE14" s="23">
        <f t="shared" si="9"/>
        <v>2872770.3725629835</v>
      </c>
      <c r="AF14" s="24">
        <f t="shared" ref="AF14:AF20" si="10">SUM(T14:AE14)</f>
        <v>13055454.881203564</v>
      </c>
      <c r="AH14" s="23" t="s">
        <v>8</v>
      </c>
      <c r="AI14" s="23">
        <f>AI75+AI76</f>
        <v>777562.7967072</v>
      </c>
      <c r="AJ14" s="23">
        <f t="shared" ref="AJ14:AT14" si="11">AJ75+AJ76</f>
        <v>904557.83291999996</v>
      </c>
      <c r="AK14" s="23">
        <f t="shared" si="11"/>
        <v>1026034.9464510147</v>
      </c>
      <c r="AL14" s="23">
        <f t="shared" si="11"/>
        <v>839278.70585999987</v>
      </c>
      <c r="AM14" s="23">
        <f t="shared" si="11"/>
        <v>1136152.81773</v>
      </c>
      <c r="AN14" s="23">
        <f t="shared" si="11"/>
        <v>1627158.06981</v>
      </c>
      <c r="AO14" s="23">
        <f t="shared" si="11"/>
        <v>1226644.4634569997</v>
      </c>
      <c r="AP14" s="23">
        <f t="shared" si="11"/>
        <v>1542394.7386659</v>
      </c>
      <c r="AQ14" s="23">
        <f t="shared" si="11"/>
        <v>1836726.3621</v>
      </c>
      <c r="AR14" s="23">
        <f t="shared" si="11"/>
        <v>2944874.4689699993</v>
      </c>
      <c r="AS14" s="23">
        <f t="shared" si="11"/>
        <v>2527229.9245116115</v>
      </c>
      <c r="AT14" s="23">
        <f t="shared" si="11"/>
        <v>4595306.384842257</v>
      </c>
      <c r="AU14" s="24">
        <f t="shared" ref="AU14:AU20" si="12">SUM(AI14:AT14)</f>
        <v>20983921.51202498</v>
      </c>
      <c r="AX14" s="25">
        <f t="shared" ref="AX14:AX20" si="13">+AF14/Q14-1</f>
        <v>0.57808197456050081</v>
      </c>
      <c r="AY14" s="25">
        <f t="shared" ref="AY14:AY20" si="14">+AU14/AF14-1</f>
        <v>0.60729148872754579</v>
      </c>
      <c r="BA14" s="26">
        <f t="shared" ref="BA14:BA20" si="15">+Q14/Q$7</f>
        <v>0.67449843016839728</v>
      </c>
      <c r="BB14" s="26">
        <f t="shared" ref="BB14:BB20" si="16">+AF14/AF$7</f>
        <v>0.67260535631022855</v>
      </c>
      <c r="BC14" s="26">
        <f t="shared" ref="BC14:BC20" si="17">+AU14/AU$7</f>
        <v>0.67109049224271067</v>
      </c>
    </row>
    <row r="15" spans="1:55" x14ac:dyDescent="0.2">
      <c r="C15" s="28" t="s">
        <v>9</v>
      </c>
      <c r="D15" s="23">
        <f t="shared" ref="D15" si="18">D79</f>
        <v>0</v>
      </c>
      <c r="E15" s="23">
        <f t="shared" ref="E15:P15" si="19">E79</f>
        <v>211.86472019999999</v>
      </c>
      <c r="F15" s="23">
        <f t="shared" si="19"/>
        <v>296.67392999999998</v>
      </c>
      <c r="G15" s="23">
        <f t="shared" si="19"/>
        <v>428.46437129999993</v>
      </c>
      <c r="H15" s="23">
        <f t="shared" si="19"/>
        <v>354.52199999999999</v>
      </c>
      <c r="I15" s="23">
        <f t="shared" si="19"/>
        <v>355.27211999999992</v>
      </c>
      <c r="J15" s="23">
        <f t="shared" si="19"/>
        <v>609.33011999999997</v>
      </c>
      <c r="K15" s="23">
        <f t="shared" si="19"/>
        <v>424.32410999999996</v>
      </c>
      <c r="L15" s="23">
        <f t="shared" si="19"/>
        <v>618.92081999999994</v>
      </c>
      <c r="M15" s="23">
        <f t="shared" si="19"/>
        <v>893.01492000000007</v>
      </c>
      <c r="N15" s="23">
        <f t="shared" si="19"/>
        <v>653.74890000000005</v>
      </c>
      <c r="O15" s="23">
        <f t="shared" si="19"/>
        <v>1739.2106849732997</v>
      </c>
      <c r="P15" s="23">
        <f t="shared" si="19"/>
        <v>2060.0232036772495</v>
      </c>
      <c r="Q15" s="24">
        <f t="shared" si="8"/>
        <v>8645.3699001505502</v>
      </c>
      <c r="S15" s="23" t="s">
        <v>9</v>
      </c>
      <c r="T15" s="23">
        <f t="shared" ref="T15:AE15" si="20">T79</f>
        <v>254.23766423999999</v>
      </c>
      <c r="U15" s="23">
        <f t="shared" si="20"/>
        <v>356.00871599999994</v>
      </c>
      <c r="V15" s="23">
        <f t="shared" si="20"/>
        <v>514.15724555999998</v>
      </c>
      <c r="W15" s="23">
        <f t="shared" si="20"/>
        <v>425.42639999999994</v>
      </c>
      <c r="X15" s="23">
        <f t="shared" si="20"/>
        <v>426.32654400000001</v>
      </c>
      <c r="Y15" s="23">
        <f t="shared" si="20"/>
        <v>731.196144</v>
      </c>
      <c r="Z15" s="23">
        <f t="shared" si="20"/>
        <v>509.18893199999997</v>
      </c>
      <c r="AA15" s="23">
        <f t="shared" si="20"/>
        <v>742.70498399999985</v>
      </c>
      <c r="AB15" s="23">
        <f t="shared" si="20"/>
        <v>1071.617904</v>
      </c>
      <c r="AC15" s="23">
        <f t="shared" si="20"/>
        <v>784.49867999999992</v>
      </c>
      <c r="AD15" s="23">
        <f t="shared" si="20"/>
        <v>2087.05282196796</v>
      </c>
      <c r="AE15" s="23">
        <f t="shared" si="20"/>
        <v>2472.0278444126998</v>
      </c>
      <c r="AF15" s="24">
        <f t="shared" si="10"/>
        <v>10374.443880180659</v>
      </c>
      <c r="AH15" s="23" t="s">
        <v>9</v>
      </c>
      <c r="AI15" s="23">
        <f t="shared" ref="AI15:AT15" si="21">AI79</f>
        <v>305.08519708800003</v>
      </c>
      <c r="AJ15" s="23">
        <f t="shared" si="21"/>
        <v>427.21045919999995</v>
      </c>
      <c r="AK15" s="23">
        <f t="shared" si="21"/>
        <v>616.98869467199995</v>
      </c>
      <c r="AL15" s="23">
        <f t="shared" si="21"/>
        <v>510.5116799999999</v>
      </c>
      <c r="AM15" s="23">
        <f t="shared" si="21"/>
        <v>511.59185279999997</v>
      </c>
      <c r="AN15" s="23">
        <f t="shared" si="21"/>
        <v>877.4353728000001</v>
      </c>
      <c r="AO15" s="23">
        <f t="shared" si="21"/>
        <v>611.02671839999994</v>
      </c>
      <c r="AP15" s="23">
        <f t="shared" si="21"/>
        <v>891.24598079999998</v>
      </c>
      <c r="AQ15" s="23">
        <f t="shared" si="21"/>
        <v>1285.9414847999999</v>
      </c>
      <c r="AR15" s="23">
        <f t="shared" si="21"/>
        <v>941.398416</v>
      </c>
      <c r="AS15" s="23">
        <f t="shared" si="21"/>
        <v>2504.4633863615518</v>
      </c>
      <c r="AT15" s="23">
        <f t="shared" si="21"/>
        <v>2966.4334132952395</v>
      </c>
      <c r="AU15" s="24">
        <f t="shared" si="12"/>
        <v>12449.332656216789</v>
      </c>
      <c r="AX15" s="25">
        <f t="shared" si="13"/>
        <v>0.19999999999999996</v>
      </c>
      <c r="AY15" s="25">
        <f t="shared" si="14"/>
        <v>0.19999999999999996</v>
      </c>
      <c r="BA15" s="26">
        <f t="shared" si="15"/>
        <v>7.0485871515576723E-4</v>
      </c>
      <c r="BB15" s="26">
        <f t="shared" si="16"/>
        <v>5.3448206792057018E-4</v>
      </c>
      <c r="BC15" s="26">
        <f t="shared" si="17"/>
        <v>3.9814430184396661E-4</v>
      </c>
    </row>
    <row r="16" spans="1:55" x14ac:dyDescent="0.2">
      <c r="C16" s="28" t="s">
        <v>10</v>
      </c>
      <c r="D16" s="23">
        <f t="shared" ref="D16" si="22">D81</f>
        <v>0</v>
      </c>
      <c r="E16" s="23">
        <f t="shared" ref="E16:P16" si="23">E81</f>
        <v>19204.495200000001</v>
      </c>
      <c r="F16" s="23">
        <f t="shared" si="23"/>
        <v>21882.4254</v>
      </c>
      <c r="G16" s="23">
        <f t="shared" si="23"/>
        <v>23981.16681818182</v>
      </c>
      <c r="H16" s="23">
        <f t="shared" si="23"/>
        <v>19579.220100000002</v>
      </c>
      <c r="I16" s="23">
        <f t="shared" si="23"/>
        <v>27643.586850000003</v>
      </c>
      <c r="J16" s="23">
        <f t="shared" si="23"/>
        <v>38671.909650000001</v>
      </c>
      <c r="K16" s="23">
        <f t="shared" si="23"/>
        <v>29473.028144999997</v>
      </c>
      <c r="L16" s="23">
        <f t="shared" si="23"/>
        <v>36279.809131499998</v>
      </c>
      <c r="M16" s="23">
        <f t="shared" si="23"/>
        <v>41778.069300000003</v>
      </c>
      <c r="N16" s="23">
        <f t="shared" si="23"/>
        <v>74091.357449999996</v>
      </c>
      <c r="O16" s="23">
        <f t="shared" si="23"/>
        <v>52821.073845690596</v>
      </c>
      <c r="P16" s="23">
        <f t="shared" si="23"/>
        <v>106115.97744061719</v>
      </c>
      <c r="Q16" s="24">
        <f t="shared" si="8"/>
        <v>491522.11933098955</v>
      </c>
      <c r="S16" s="23" t="s">
        <v>10</v>
      </c>
      <c r="T16" s="23">
        <f t="shared" ref="T16:AE16" si="24">T81</f>
        <v>32647.64184</v>
      </c>
      <c r="U16" s="23">
        <f t="shared" si="24"/>
        <v>37200.123180000002</v>
      </c>
      <c r="V16" s="23">
        <f t="shared" si="24"/>
        <v>40767.983590909091</v>
      </c>
      <c r="W16" s="23">
        <f t="shared" si="24"/>
        <v>33284.674169999998</v>
      </c>
      <c r="X16" s="23">
        <f t="shared" si="24"/>
        <v>46994.097645000002</v>
      </c>
      <c r="Y16" s="23">
        <f t="shared" si="24"/>
        <v>65742.246404999998</v>
      </c>
      <c r="Z16" s="23">
        <f t="shared" si="24"/>
        <v>50104.147846499996</v>
      </c>
      <c r="AA16" s="23">
        <f t="shared" si="24"/>
        <v>61675.675523550002</v>
      </c>
      <c r="AB16" s="23">
        <f t="shared" si="24"/>
        <v>71022.717810000002</v>
      </c>
      <c r="AC16" s="23">
        <f t="shared" si="24"/>
        <v>125955.30766499997</v>
      </c>
      <c r="AD16" s="23">
        <f t="shared" si="24"/>
        <v>89795.825537674013</v>
      </c>
      <c r="AE16" s="23">
        <f t="shared" si="24"/>
        <v>180397.16164904923</v>
      </c>
      <c r="AF16" s="24">
        <f t="shared" si="10"/>
        <v>835587.60286268231</v>
      </c>
      <c r="AH16" s="23" t="s">
        <v>10</v>
      </c>
      <c r="AI16" s="23">
        <f t="shared" ref="AI16:AT16" si="25">AI81</f>
        <v>55500.991128000001</v>
      </c>
      <c r="AJ16" s="23">
        <f t="shared" si="25"/>
        <v>63240.209405999994</v>
      </c>
      <c r="AK16" s="23">
        <f t="shared" si="25"/>
        <v>69305.572104545456</v>
      </c>
      <c r="AL16" s="23">
        <f t="shared" si="25"/>
        <v>56583.946088999997</v>
      </c>
      <c r="AM16" s="23">
        <f t="shared" si="25"/>
        <v>79889.965996500003</v>
      </c>
      <c r="AN16" s="23">
        <f t="shared" si="25"/>
        <v>111761.8188885</v>
      </c>
      <c r="AO16" s="23">
        <f t="shared" si="25"/>
        <v>85177.051339049984</v>
      </c>
      <c r="AP16" s="23">
        <f t="shared" si="25"/>
        <v>104848.648390035</v>
      </c>
      <c r="AQ16" s="23">
        <f t="shared" si="25"/>
        <v>120738.62027700001</v>
      </c>
      <c r="AR16" s="23">
        <f t="shared" si="25"/>
        <v>214124.02303049996</v>
      </c>
      <c r="AS16" s="23">
        <f t="shared" si="25"/>
        <v>152652.90341404581</v>
      </c>
      <c r="AT16" s="23">
        <f t="shared" si="25"/>
        <v>306675.17480338371</v>
      </c>
      <c r="AU16" s="24">
        <f t="shared" si="12"/>
        <v>1420498.9248665599</v>
      </c>
      <c r="AX16" s="25">
        <f t="shared" si="13"/>
        <v>0.70000000000000018</v>
      </c>
      <c r="AY16" s="25">
        <f t="shared" si="14"/>
        <v>0.7</v>
      </c>
      <c r="BA16" s="36">
        <f t="shared" si="15"/>
        <v>4.0073895449661188E-2</v>
      </c>
      <c r="BB16" s="36">
        <f t="shared" si="16"/>
        <v>4.304872579821227E-2</v>
      </c>
      <c r="BC16" s="36">
        <f t="shared" si="17"/>
        <v>4.542922647574027E-2</v>
      </c>
    </row>
    <row r="17" spans="2:60" x14ac:dyDescent="0.2">
      <c r="C17" s="28" t="s">
        <v>11</v>
      </c>
      <c r="D17" s="23">
        <v>0</v>
      </c>
      <c r="E17" s="23">
        <f>E80</f>
        <v>706.21573400000011</v>
      </c>
      <c r="F17" s="23">
        <f t="shared" ref="F17:P17" si="26">F80</f>
        <v>988.91309999999999</v>
      </c>
      <c r="G17" s="23">
        <f t="shared" si="26"/>
        <v>1428.214571</v>
      </c>
      <c r="H17" s="23">
        <f t="shared" si="26"/>
        <v>1181.74</v>
      </c>
      <c r="I17" s="23">
        <f t="shared" si="26"/>
        <v>1184.2403999999999</v>
      </c>
      <c r="J17" s="23">
        <f t="shared" si="26"/>
        <v>2031.1004</v>
      </c>
      <c r="K17" s="23">
        <f t="shared" si="26"/>
        <v>1414.4137000000001</v>
      </c>
      <c r="L17" s="23">
        <f t="shared" si="26"/>
        <v>2063.0693999999999</v>
      </c>
      <c r="M17" s="23">
        <f t="shared" si="26"/>
        <v>2976.7164000000002</v>
      </c>
      <c r="N17" s="23">
        <f t="shared" si="26"/>
        <v>2179.163</v>
      </c>
      <c r="O17" s="23">
        <f t="shared" si="26"/>
        <v>5797.3689499109996</v>
      </c>
      <c r="P17" s="23">
        <f t="shared" si="26"/>
        <v>6866.7440122574999</v>
      </c>
      <c r="Q17" s="24">
        <f t="shared" si="8"/>
        <v>28817.899667168502</v>
      </c>
      <c r="S17" s="23" t="s">
        <v>11</v>
      </c>
      <c r="T17" s="23">
        <f>T80</f>
        <v>847.45888080000009</v>
      </c>
      <c r="U17" s="23">
        <f t="shared" ref="U17:AE17" si="27">U80</f>
        <v>1186.6957199999999</v>
      </c>
      <c r="V17" s="23">
        <f t="shared" si="27"/>
        <v>1713.8574851999999</v>
      </c>
      <c r="W17" s="23">
        <f t="shared" si="27"/>
        <v>1418.088</v>
      </c>
      <c r="X17" s="23">
        <f t="shared" si="27"/>
        <v>1421.0884800000001</v>
      </c>
      <c r="Y17" s="23">
        <f t="shared" si="27"/>
        <v>2437.3204800000003</v>
      </c>
      <c r="Z17" s="23">
        <f t="shared" si="27"/>
        <v>1697.2964400000001</v>
      </c>
      <c r="AA17" s="23">
        <f t="shared" si="27"/>
        <v>2475.6832799999997</v>
      </c>
      <c r="AB17" s="23">
        <f t="shared" si="27"/>
        <v>3572.0596799999998</v>
      </c>
      <c r="AC17" s="23">
        <f t="shared" si="27"/>
        <v>2614.9956000000002</v>
      </c>
      <c r="AD17" s="23">
        <f t="shared" si="27"/>
        <v>6956.842739893199</v>
      </c>
      <c r="AE17" s="23">
        <f t="shared" si="27"/>
        <v>8240.0928147089999</v>
      </c>
      <c r="AF17" s="24">
        <f t="shared" si="10"/>
        <v>34581.479600602193</v>
      </c>
      <c r="AH17" s="23" t="s">
        <v>11</v>
      </c>
      <c r="AI17" s="23">
        <f>AI80</f>
        <v>1016.9506569600001</v>
      </c>
      <c r="AJ17" s="23">
        <f t="shared" ref="AJ17:AT17" si="28">AJ80</f>
        <v>1424.0348639999997</v>
      </c>
      <c r="AK17" s="23">
        <f t="shared" si="28"/>
        <v>2056.6289822399999</v>
      </c>
      <c r="AL17" s="23">
        <f t="shared" si="28"/>
        <v>1701.7055999999998</v>
      </c>
      <c r="AM17" s="23">
        <f t="shared" si="28"/>
        <v>1705.3061760000001</v>
      </c>
      <c r="AN17" s="23">
        <f t="shared" si="28"/>
        <v>2924.7845760000005</v>
      </c>
      <c r="AO17" s="23">
        <f t="shared" si="28"/>
        <v>2036.7557280000001</v>
      </c>
      <c r="AP17" s="23">
        <f t="shared" si="28"/>
        <v>2970.8199359999999</v>
      </c>
      <c r="AQ17" s="23">
        <f t="shared" si="28"/>
        <v>4286.4716159999998</v>
      </c>
      <c r="AR17" s="23">
        <f t="shared" si="28"/>
        <v>3137.9947200000001</v>
      </c>
      <c r="AS17" s="23">
        <f t="shared" si="28"/>
        <v>8348.2112878718399</v>
      </c>
      <c r="AT17" s="23">
        <f t="shared" si="28"/>
        <v>9888.1113776507991</v>
      </c>
      <c r="AU17" s="24">
        <f t="shared" si="12"/>
        <v>41497.775520722636</v>
      </c>
      <c r="AX17" s="25">
        <f t="shared" si="13"/>
        <v>0.19999999999999973</v>
      </c>
      <c r="AY17" s="25">
        <f t="shared" si="14"/>
        <v>0.20000000000000018</v>
      </c>
      <c r="BA17" s="26">
        <f t="shared" si="15"/>
        <v>2.3495290505192242E-3</v>
      </c>
      <c r="BB17" s="26">
        <f t="shared" si="16"/>
        <v>1.781606893068567E-3</v>
      </c>
      <c r="BC17" s="26">
        <f t="shared" si="17"/>
        <v>1.3271476728132223E-3</v>
      </c>
    </row>
    <row r="18" spans="2:60" x14ac:dyDescent="0.2">
      <c r="C18" s="28" t="s">
        <v>4</v>
      </c>
      <c r="D18" s="29">
        <v>0</v>
      </c>
      <c r="E18" s="29">
        <f>Ventas!S28</f>
        <v>17458.632000000001</v>
      </c>
      <c r="F18" s="29">
        <f>Ventas!T28</f>
        <v>19893.114000000001</v>
      </c>
      <c r="G18" s="29">
        <f>Ventas!U28</f>
        <v>21801.060743801649</v>
      </c>
      <c r="H18" s="29">
        <f>Ventas!V28</f>
        <v>17799.290999999997</v>
      </c>
      <c r="I18" s="29">
        <f>Ventas!W28</f>
        <v>25130.533500000001</v>
      </c>
      <c r="J18" s="29">
        <f>Ventas!X28</f>
        <v>35156.281499999997</v>
      </c>
      <c r="K18" s="29">
        <f>Ventas!Y28</f>
        <v>26793.661949999994</v>
      </c>
      <c r="L18" s="29">
        <f>Ventas!Z28</f>
        <v>32981.644664999993</v>
      </c>
      <c r="M18" s="29">
        <f>Ventas!AA28</f>
        <v>37980.062999999995</v>
      </c>
      <c r="N18" s="29">
        <f>Ventas!AB28</f>
        <v>67355.779499999975</v>
      </c>
      <c r="O18" s="29">
        <f>Ventas!AC28</f>
        <v>48019.158041536903</v>
      </c>
      <c r="P18" s="29">
        <f>Ventas!AD28</f>
        <v>96469.070400561075</v>
      </c>
      <c r="Q18" s="24">
        <f t="shared" si="8"/>
        <v>446838.29030089965</v>
      </c>
      <c r="S18" s="29" t="s">
        <v>4</v>
      </c>
      <c r="T18" s="29">
        <f>Ventas!AH28</f>
        <v>29679.6744</v>
      </c>
      <c r="U18" s="29">
        <f>Ventas!AI28</f>
        <v>33818.293799999999</v>
      </c>
      <c r="V18" s="29">
        <f>Ventas!AJ28</f>
        <v>37061.803264462804</v>
      </c>
      <c r="W18" s="29">
        <f>Ventas!AK28</f>
        <v>30258.794699999999</v>
      </c>
      <c r="X18" s="29">
        <f>Ventas!AL28</f>
        <v>42721.906950000004</v>
      </c>
      <c r="Y18" s="29">
        <f>Ventas!AM28</f>
        <v>59765.678550000004</v>
      </c>
      <c r="Z18" s="29">
        <f>Ventas!AN28</f>
        <v>45549.225314999996</v>
      </c>
      <c r="AA18" s="29">
        <f>Ventas!AO28</f>
        <v>56068.795930500004</v>
      </c>
      <c r="AB18" s="29">
        <f>Ventas!AP28</f>
        <v>64566.107100000001</v>
      </c>
      <c r="AC18" s="29">
        <f>Ventas!AQ28</f>
        <v>114504.82514999999</v>
      </c>
      <c r="AD18" s="29">
        <f>Ventas!AR28</f>
        <v>81632.568670612745</v>
      </c>
      <c r="AE18" s="29">
        <f>Ventas!AS28</f>
        <v>163997.41968095384</v>
      </c>
      <c r="AF18" s="24">
        <f t="shared" si="10"/>
        <v>759625.09351152938</v>
      </c>
      <c r="AH18" s="29" t="s">
        <v>4</v>
      </c>
      <c r="AI18" s="29">
        <f>Ventas!AW28</f>
        <v>50455.446480000006</v>
      </c>
      <c r="AJ18" s="29">
        <f>Ventas!AX28</f>
        <v>57491.099459999998</v>
      </c>
      <c r="AK18" s="29">
        <f>Ventas!AY28</f>
        <v>63005.065549586769</v>
      </c>
      <c r="AL18" s="29">
        <f>Ventas!AZ28</f>
        <v>51439.950989999998</v>
      </c>
      <c r="AM18" s="29">
        <f>Ventas!BA28</f>
        <v>72627.241815000016</v>
      </c>
      <c r="AN18" s="29">
        <f>Ventas!BB28</f>
        <v>101601.653535</v>
      </c>
      <c r="AO18" s="29">
        <f>Ventas!BC28</f>
        <v>77433.683035499998</v>
      </c>
      <c r="AP18" s="29">
        <f>Ventas!BD28</f>
        <v>95316.953081849992</v>
      </c>
      <c r="AQ18" s="29">
        <f>Ventas!BE28</f>
        <v>109762.38207000001</v>
      </c>
      <c r="AR18" s="29">
        <f>Ventas!BF28</f>
        <v>194658.20275499998</v>
      </c>
      <c r="AS18" s="29">
        <f>Ventas!BG28</f>
        <v>138775.36674004165</v>
      </c>
      <c r="AT18" s="29">
        <f>Ventas!BH28</f>
        <v>278795.61345762154</v>
      </c>
      <c r="AU18" s="24">
        <f t="shared" si="12"/>
        <v>1291362.6589696</v>
      </c>
      <c r="AX18" s="25">
        <f t="shared" si="13"/>
        <v>0.7</v>
      </c>
      <c r="AY18" s="25">
        <f t="shared" si="14"/>
        <v>0.7</v>
      </c>
      <c r="BA18" s="26">
        <f t="shared" si="15"/>
        <v>3.6430814045146545E-2</v>
      </c>
      <c r="BB18" s="26">
        <f t="shared" si="16"/>
        <v>3.9135205271102064E-2</v>
      </c>
      <c r="BC18" s="26">
        <f t="shared" si="17"/>
        <v>4.1299296796127517E-2</v>
      </c>
    </row>
    <row r="19" spans="2:60" x14ac:dyDescent="0.2">
      <c r="C19" s="23" t="s">
        <v>54</v>
      </c>
      <c r="D19" s="23">
        <v>0</v>
      </c>
      <c r="E19" s="23">
        <f>(E8+E9-E14)*$Q$59</f>
        <v>6926.6045211000001</v>
      </c>
      <c r="F19" s="23">
        <f t="shared" ref="F19:P19" si="29">(F8+F9-F14)*$Q$59</f>
        <v>8196.4342349999988</v>
      </c>
      <c r="G19" s="23">
        <f t="shared" si="29"/>
        <v>9550.9040876045474</v>
      </c>
      <c r="H19" s="23">
        <f t="shared" si="29"/>
        <v>7823.6370300000026</v>
      </c>
      <c r="I19" s="23">
        <f t="shared" si="29"/>
        <v>10247.072715000006</v>
      </c>
      <c r="J19" s="23">
        <f t="shared" si="29"/>
        <v>14952.888555</v>
      </c>
      <c r="K19" s="23">
        <f t="shared" si="29"/>
        <v>11175.691048500001</v>
      </c>
      <c r="L19" s="23">
        <f t="shared" si="29"/>
        <v>14288.007249450005</v>
      </c>
      <c r="M19" s="23">
        <f t="shared" si="29"/>
        <v>17445.002849999993</v>
      </c>
      <c r="N19" s="23">
        <f t="shared" si="29"/>
        <v>25823.026185000002</v>
      </c>
      <c r="O19" s="23">
        <f t="shared" si="29"/>
        <v>25411.980921060331</v>
      </c>
      <c r="P19" s="23">
        <f t="shared" si="29"/>
        <v>43164.920852410025</v>
      </c>
      <c r="Q19" s="24">
        <f t="shared" si="8"/>
        <v>195006.17025012491</v>
      </c>
      <c r="S19" s="23" t="s">
        <v>54</v>
      </c>
      <c r="T19" s="23">
        <f>(T8+T9-T14)*$Q$59</f>
        <v>11192.599705320008</v>
      </c>
      <c r="U19" s="23">
        <f t="shared" ref="U19:AE19" si="30">(U8+U9-U14)*$Q$59</f>
        <v>13118.084892000006</v>
      </c>
      <c r="V19" s="23">
        <f t="shared" si="30"/>
        <v>15058.259927852734</v>
      </c>
      <c r="W19" s="23">
        <f t="shared" si="30"/>
        <v>12325.247450999997</v>
      </c>
      <c r="X19" s="23">
        <f t="shared" si="30"/>
        <v>16443.025285500004</v>
      </c>
      <c r="Y19" s="23">
        <f t="shared" si="30"/>
        <v>23744.252713500002</v>
      </c>
      <c r="Z19" s="23">
        <f t="shared" si="30"/>
        <v>17831.783479949998</v>
      </c>
      <c r="AA19" s="23">
        <f t="shared" si="30"/>
        <v>22587.580069065003</v>
      </c>
      <c r="AB19" s="23">
        <f t="shared" si="30"/>
        <v>27200.713814999999</v>
      </c>
      <c r="AC19" s="23">
        <f t="shared" si="30"/>
        <v>42101.335039500002</v>
      </c>
      <c r="AD19" s="23">
        <f t="shared" si="30"/>
        <v>38417.538182125994</v>
      </c>
      <c r="AE19" s="23">
        <f t="shared" si="30"/>
        <v>67715.301638984631</v>
      </c>
      <c r="AF19" s="24">
        <f t="shared" si="10"/>
        <v>307735.72219979839</v>
      </c>
      <c r="AH19" s="23" t="s">
        <v>54</v>
      </c>
      <c r="AI19" s="23">
        <f>(AI8+AI9-AI14)*$Q$59</f>
        <v>18328.265922384002</v>
      </c>
      <c r="AJ19" s="23">
        <f t="shared" ref="AJ19:AT19" si="31">(AJ8+AJ9-AJ14)*$Q$59</f>
        <v>21321.720347400002</v>
      </c>
      <c r="AK19" s="23">
        <f t="shared" si="31"/>
        <v>24185.109452059634</v>
      </c>
      <c r="AL19" s="23">
        <f t="shared" si="31"/>
        <v>19782.998066700005</v>
      </c>
      <c r="AM19" s="23">
        <f t="shared" si="31"/>
        <v>26780.744989350005</v>
      </c>
      <c r="AN19" s="23">
        <f t="shared" si="31"/>
        <v>38354.440216949995</v>
      </c>
      <c r="AO19" s="23">
        <f t="shared" si="31"/>
        <v>28913.762352914997</v>
      </c>
      <c r="AP19" s="23">
        <f t="shared" si="31"/>
        <v>36356.447411410496</v>
      </c>
      <c r="AQ19" s="23">
        <f t="shared" si="31"/>
        <v>43294.264249500018</v>
      </c>
      <c r="AR19" s="23">
        <f t="shared" si="31"/>
        <v>69414.89819714996</v>
      </c>
      <c r="AS19" s="23">
        <f t="shared" si="31"/>
        <v>59570.419649202304</v>
      </c>
      <c r="AT19" s="23">
        <f t="shared" si="31"/>
        <v>108317.93621413894</v>
      </c>
      <c r="AU19" s="37">
        <f t="shared" si="12"/>
        <v>494621.00706916035</v>
      </c>
      <c r="AV19" s="23"/>
      <c r="AW19" s="23"/>
      <c r="AX19" s="25">
        <f t="shared" si="13"/>
        <v>0.57808197456050125</v>
      </c>
      <c r="AY19" s="25">
        <f t="shared" si="14"/>
        <v>0.60729148872754557</v>
      </c>
      <c r="AZ19" s="23"/>
      <c r="BA19" s="35">
        <f t="shared" si="15"/>
        <v>1.589889156825508E-2</v>
      </c>
      <c r="BB19" s="35">
        <f t="shared" si="16"/>
        <v>1.5854269113026821E-2</v>
      </c>
      <c r="BC19" s="35">
        <f t="shared" si="17"/>
        <v>1.58185616028639E-2</v>
      </c>
      <c r="BD19" s="23"/>
      <c r="BE19" s="23"/>
      <c r="BF19" s="23"/>
      <c r="BG19" s="23"/>
      <c r="BH19" s="23"/>
    </row>
    <row r="20" spans="2:60" x14ac:dyDescent="0.2">
      <c r="C20" s="38" t="s">
        <v>84</v>
      </c>
      <c r="D20" s="38">
        <f>(D7+D14+D15+D18)*1.21*0.6%</f>
        <v>0</v>
      </c>
      <c r="E20" s="38">
        <f>(E7+E14+E15+E18)*1.21*0.6%</f>
        <v>5436.137656291452</v>
      </c>
      <c r="F20" s="38">
        <f t="shared" ref="F20:P20" si="32">(F7+F14+F15+F18)*1.21*0.6%</f>
        <v>6421.9346757918011</v>
      </c>
      <c r="G20" s="38">
        <f t="shared" si="32"/>
        <v>7463.7383108638378</v>
      </c>
      <c r="H20" s="38">
        <f t="shared" si="32"/>
        <v>6113.1000334799992</v>
      </c>
      <c r="I20" s="38">
        <f t="shared" si="32"/>
        <v>8032.2850128312011</v>
      </c>
      <c r="J20" s="38">
        <f t="shared" si="32"/>
        <v>11699.653583191201</v>
      </c>
      <c r="K20" s="38">
        <f t="shared" si="32"/>
        <v>8751.5414688305991</v>
      </c>
      <c r="L20" s="38">
        <f t="shared" si="32"/>
        <v>11170.816268277602</v>
      </c>
      <c r="M20" s="38">
        <f t="shared" si="32"/>
        <v>13606.8159348792</v>
      </c>
      <c r="N20" s="38">
        <f t="shared" si="32"/>
        <v>20298.375721733999</v>
      </c>
      <c r="O20" s="38">
        <f t="shared" si="32"/>
        <v>19718.026573289146</v>
      </c>
      <c r="P20" s="38">
        <f t="shared" si="32"/>
        <v>33703.047468277546</v>
      </c>
      <c r="Q20" s="39">
        <f t="shared" si="8"/>
        <v>152415.47270773759</v>
      </c>
      <c r="R20" s="40"/>
      <c r="S20" s="38" t="s">
        <v>84</v>
      </c>
      <c r="T20" s="38">
        <f>(T7+T14+T15+T18)*1.21*0.6%</f>
        <v>8804.8592173097404</v>
      </c>
      <c r="U20" s="38">
        <f t="shared" ref="U20:AE20" si="33">(U7+U14+U15+U18)*1.21*0.6%</f>
        <v>10305.95374847016</v>
      </c>
      <c r="V20" s="38">
        <f t="shared" si="33"/>
        <v>11805.448591036606</v>
      </c>
      <c r="W20" s="38">
        <f t="shared" si="33"/>
        <v>9661.7313880559996</v>
      </c>
      <c r="X20" s="38">
        <f t="shared" si="33"/>
        <v>12922.800133177439</v>
      </c>
      <c r="Y20" s="38">
        <f t="shared" si="33"/>
        <v>18633.80716624944</v>
      </c>
      <c r="Z20" s="38">
        <f t="shared" si="33"/>
        <v>14003.245506222716</v>
      </c>
      <c r="AA20" s="38">
        <f t="shared" si="33"/>
        <v>17715.02084675532</v>
      </c>
      <c r="AB20" s="38">
        <f t="shared" si="33"/>
        <v>21291.413754695037</v>
      </c>
      <c r="AC20" s="38">
        <f t="shared" si="33"/>
        <v>33160.10413114079</v>
      </c>
      <c r="AD20" s="38">
        <f t="shared" si="33"/>
        <v>29936.775460815014</v>
      </c>
      <c r="AE20" s="38">
        <f t="shared" si="33"/>
        <v>53050.235081878382</v>
      </c>
      <c r="AF20" s="39">
        <f t="shared" si="10"/>
        <v>241291.39502580662</v>
      </c>
      <c r="AG20" s="40"/>
      <c r="AH20" s="38" t="s">
        <v>84</v>
      </c>
      <c r="AI20" s="38">
        <f>(AI7+AI14+AI15+AI18)*1.21*0.6%</f>
        <v>14444.370911363689</v>
      </c>
      <c r="AJ20" s="38">
        <f t="shared" ref="AJ20:AT20" si="34">(AJ7+AJ14+AJ15+AJ18)*1.21*0.6%</f>
        <v>16786.519131948193</v>
      </c>
      <c r="AK20" s="38">
        <f t="shared" si="34"/>
        <v>19009.774759843924</v>
      </c>
      <c r="AL20" s="38">
        <f t="shared" si="34"/>
        <v>15548.296957063196</v>
      </c>
      <c r="AM20" s="38">
        <f t="shared" si="34"/>
        <v>21090.258960038926</v>
      </c>
      <c r="AN20" s="38">
        <f t="shared" si="34"/>
        <v>30170.747472413328</v>
      </c>
      <c r="AO20" s="38">
        <f t="shared" si="34"/>
        <v>22756.26737163146</v>
      </c>
      <c r="AP20" s="38">
        <f t="shared" si="34"/>
        <v>28585.095268304121</v>
      </c>
      <c r="AQ20" s="38">
        <f t="shared" si="34"/>
        <v>33987.195381462043</v>
      </c>
      <c r="AR20" s="38">
        <f t="shared" si="34"/>
        <v>54755.615507970942</v>
      </c>
      <c r="AS20" s="38">
        <f t="shared" si="34"/>
        <v>46591.874626853685</v>
      </c>
      <c r="AT20" s="38">
        <f t="shared" si="34"/>
        <v>85091.464902161111</v>
      </c>
      <c r="AU20" s="39">
        <f t="shared" si="12"/>
        <v>388817.48125105462</v>
      </c>
      <c r="AV20" s="40"/>
      <c r="AW20" s="40"/>
      <c r="AX20" s="41">
        <f t="shared" si="13"/>
        <v>0.58311614128896183</v>
      </c>
      <c r="AY20" s="41">
        <f t="shared" si="14"/>
        <v>0.61140218535132496</v>
      </c>
      <c r="AZ20" s="40"/>
      <c r="BA20" s="42">
        <f t="shared" si="15"/>
        <v>1.2426463587262357E-2</v>
      </c>
      <c r="BB20" s="42">
        <f t="shared" si="16"/>
        <v>1.2431116816893562E-2</v>
      </c>
      <c r="BC20" s="42">
        <f t="shared" si="17"/>
        <v>1.2434840396053352E-2</v>
      </c>
      <c r="BD20" s="40"/>
      <c r="BE20" s="40"/>
      <c r="BF20" s="40"/>
      <c r="BG20" s="40"/>
    </row>
    <row r="21" spans="2:60" x14ac:dyDescent="0.2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30"/>
      <c r="Q21" s="24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30"/>
      <c r="AF21" s="24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30"/>
      <c r="AU21" s="24"/>
    </row>
    <row r="22" spans="2:60" ht="15.75" x14ac:dyDescent="0.25">
      <c r="C22" s="22" t="s">
        <v>12</v>
      </c>
      <c r="D22" s="23">
        <f t="shared" ref="D22" si="35">D7-D12</f>
        <v>0</v>
      </c>
      <c r="E22" s="23">
        <f t="shared" ref="E22:P22" si="36">E7-E12</f>
        <v>93452.946188408532</v>
      </c>
      <c r="F22" s="23">
        <f t="shared" si="36"/>
        <v>111239.69565920817</v>
      </c>
      <c r="G22" s="23">
        <f t="shared" si="36"/>
        <v>130800.31343385973</v>
      </c>
      <c r="H22" s="23">
        <f t="shared" si="36"/>
        <v>107195.72683652013</v>
      </c>
      <c r="I22" s="23">
        <f t="shared" si="36"/>
        <v>138847.95590216888</v>
      </c>
      <c r="J22" s="23">
        <f t="shared" si="36"/>
        <v>203905.81869180873</v>
      </c>
      <c r="K22" s="23">
        <f t="shared" si="36"/>
        <v>151955.38422766945</v>
      </c>
      <c r="L22" s="23">
        <f t="shared" si="36"/>
        <v>195361.32712077256</v>
      </c>
      <c r="M22" s="23">
        <f t="shared" si="36"/>
        <v>240482.25059512071</v>
      </c>
      <c r="N22" s="23">
        <f t="shared" si="36"/>
        <v>346463.89574326598</v>
      </c>
      <c r="O22" s="23">
        <f t="shared" si="36"/>
        <v>356548.35577162704</v>
      </c>
      <c r="P22" s="23">
        <f t="shared" si="36"/>
        <v>592906.02979385201</v>
      </c>
      <c r="Q22" s="24">
        <f>SUM(E22:P22)</f>
        <v>2669159.6999642821</v>
      </c>
      <c r="S22" s="23" t="s">
        <v>12</v>
      </c>
      <c r="T22" s="23">
        <f t="shared" ref="T22:AE22" si="37">T7-T12</f>
        <v>149755.01551633049</v>
      </c>
      <c r="U22" s="23">
        <f t="shared" si="37"/>
        <v>176343.76814353</v>
      </c>
      <c r="V22" s="23">
        <f t="shared" si="37"/>
        <v>203926.83730221854</v>
      </c>
      <c r="W22" s="23">
        <f t="shared" si="37"/>
        <v>166980.24079094396</v>
      </c>
      <c r="X22" s="23">
        <f t="shared" si="37"/>
        <v>220756.75801232271</v>
      </c>
      <c r="Y22" s="23">
        <f t="shared" si="37"/>
        <v>320424.86279125046</v>
      </c>
      <c r="Z22" s="23">
        <f t="shared" si="37"/>
        <v>240068.58288532717</v>
      </c>
      <c r="AA22" s="23">
        <f t="shared" si="37"/>
        <v>305486.60927962977</v>
      </c>
      <c r="AB22" s="23">
        <f t="shared" si="37"/>
        <v>370399.91003630497</v>
      </c>
      <c r="AC22" s="23">
        <f t="shared" si="37"/>
        <v>560862.57778435946</v>
      </c>
      <c r="AD22" s="23">
        <f t="shared" si="37"/>
        <v>531306.65947799664</v>
      </c>
      <c r="AE22" s="23">
        <f t="shared" si="37"/>
        <v>919312.4834979591</v>
      </c>
      <c r="AF22" s="24">
        <f>SUM(T22:AE22)</f>
        <v>4165624.3055181731</v>
      </c>
      <c r="AH22" s="23" t="s">
        <v>12</v>
      </c>
      <c r="AI22" s="23">
        <f t="shared" ref="AI22:AT22" si="38">AI7-AI12</f>
        <v>243645.53477300424</v>
      </c>
      <c r="AJ22" s="23">
        <f t="shared" si="38"/>
        <v>284467.94847145164</v>
      </c>
      <c r="AK22" s="23">
        <f t="shared" si="38"/>
        <v>324555.18877135939</v>
      </c>
      <c r="AL22" s="23">
        <f t="shared" si="38"/>
        <v>265563.41554723692</v>
      </c>
      <c r="AM22" s="23">
        <f t="shared" si="38"/>
        <v>356944.76819531107</v>
      </c>
      <c r="AN22" s="23">
        <f t="shared" si="38"/>
        <v>513264.23196333647</v>
      </c>
      <c r="AO22" s="23">
        <f t="shared" si="38"/>
        <v>386209.90654300316</v>
      </c>
      <c r="AP22" s="23">
        <f t="shared" si="38"/>
        <v>487374.05958455033</v>
      </c>
      <c r="AQ22" s="23">
        <f t="shared" si="38"/>
        <v>583575.94789123768</v>
      </c>
      <c r="AR22" s="23">
        <f t="shared" si="38"/>
        <v>919715.12825837918</v>
      </c>
      <c r="AS22" s="23">
        <f t="shared" si="38"/>
        <v>813430.66671206988</v>
      </c>
      <c r="AT22" s="23">
        <f t="shared" si="38"/>
        <v>1456477.9013646254</v>
      </c>
      <c r="AU22" s="24">
        <f>SUM(AI22:AT22)</f>
        <v>6635224.6980755655</v>
      </c>
      <c r="AX22" s="25">
        <f>+AF22/Q22-1</f>
        <v>0.56065008233636826</v>
      </c>
      <c r="AY22" s="25">
        <f>+AU22/AF22-1</f>
        <v>0.59285240612935985</v>
      </c>
      <c r="BB22" s="43"/>
    </row>
    <row r="23" spans="2:60" x14ac:dyDescent="0.2">
      <c r="C23" s="33" t="s">
        <v>7</v>
      </c>
      <c r="D23" s="33"/>
      <c r="E23" s="33">
        <f t="shared" ref="E23:Q23" si="39">E22/E7</f>
        <v>0.2137274740954917</v>
      </c>
      <c r="F23" s="33">
        <f t="shared" si="39"/>
        <v>0.21531095581944942</v>
      </c>
      <c r="G23" s="33">
        <f t="shared" si="39"/>
        <v>0.21776688294335445</v>
      </c>
      <c r="H23" s="33">
        <f t="shared" si="39"/>
        <v>0.21789560237765396</v>
      </c>
      <c r="I23" s="33">
        <f t="shared" si="39"/>
        <v>0.21487995106342928</v>
      </c>
      <c r="J23" s="33">
        <f t="shared" si="39"/>
        <v>0.2166003420434052</v>
      </c>
      <c r="K23" s="33">
        <f t="shared" si="39"/>
        <v>0.21581252556889804</v>
      </c>
      <c r="L23" s="33">
        <f t="shared" si="39"/>
        <v>0.2173285786463087</v>
      </c>
      <c r="M23" s="33">
        <f t="shared" si="39"/>
        <v>0.21956776992998714</v>
      </c>
      <c r="N23" s="33">
        <f t="shared" si="39"/>
        <v>0.21224363686193967</v>
      </c>
      <c r="O23" s="33">
        <f t="shared" si="39"/>
        <v>0.22450699073431502</v>
      </c>
      <c r="P23" s="33">
        <f t="shared" si="39"/>
        <v>0.21858086325574289</v>
      </c>
      <c r="Q23" s="34">
        <f t="shared" si="39"/>
        <v>0.21761711741560238</v>
      </c>
      <c r="S23" s="33" t="s">
        <v>7</v>
      </c>
      <c r="T23" s="33">
        <f t="shared" ref="T23:AF23" si="40">T22/T7</f>
        <v>0.21151269222883817</v>
      </c>
      <c r="U23" s="33">
        <f t="shared" si="40"/>
        <v>0.2127561947908552</v>
      </c>
      <c r="V23" s="33">
        <f t="shared" si="40"/>
        <v>0.21473134171839542</v>
      </c>
      <c r="W23" s="33">
        <f t="shared" si="40"/>
        <v>0.21483646144174381</v>
      </c>
      <c r="X23" s="33">
        <f t="shared" si="40"/>
        <v>0.21241543867755122</v>
      </c>
      <c r="Y23" s="33">
        <f t="shared" si="40"/>
        <v>0.21378599381725114</v>
      </c>
      <c r="Z23" s="33">
        <f t="shared" si="40"/>
        <v>0.21315492280323592</v>
      </c>
      <c r="AA23" s="33">
        <f t="shared" si="40"/>
        <v>0.21437460581765</v>
      </c>
      <c r="AB23" s="33">
        <f t="shared" si="40"/>
        <v>0.21621689358296592</v>
      </c>
      <c r="AC23" s="33">
        <f t="shared" si="40"/>
        <v>0.2103680998259374</v>
      </c>
      <c r="AD23" s="33">
        <f t="shared" si="40"/>
        <v>0.22046210233590985</v>
      </c>
      <c r="AE23" s="33">
        <f t="shared" si="40"/>
        <v>0.2153988181891357</v>
      </c>
      <c r="AF23" s="34">
        <f t="shared" si="40"/>
        <v>0.21460923772954768</v>
      </c>
      <c r="AH23" s="33" t="s">
        <v>7</v>
      </c>
      <c r="AI23" s="33">
        <f t="shared" ref="AI23" si="41">AI22/AI7</f>
        <v>0.2098114564307689</v>
      </c>
      <c r="AJ23" s="33">
        <f t="shared" ref="AJ23" si="42">AJ22/AJ7</f>
        <v>0.21076124701128901</v>
      </c>
      <c r="AK23" s="33">
        <f t="shared" ref="AK23" si="43">AK22/AK7</f>
        <v>0.21229834621132163</v>
      </c>
      <c r="AL23" s="33">
        <f t="shared" ref="AL23" si="44">AL22/AL7</f>
        <v>0.21238115114130313</v>
      </c>
      <c r="AM23" s="33">
        <f t="shared" ref="AM23" si="45">AM22/AM7</f>
        <v>0.21049961711879206</v>
      </c>
      <c r="AN23" s="33">
        <f t="shared" ref="AN23" si="46">AN22/AN7</f>
        <v>0.21155823883497765</v>
      </c>
      <c r="AO23" s="33">
        <f t="shared" ref="AO23" si="47">AO22/AO7</f>
        <v>0.21106870276838091</v>
      </c>
      <c r="AP23" s="33">
        <f t="shared" ref="AP23" si="48">AP22/AP7</f>
        <v>0.21201809767829288</v>
      </c>
      <c r="AQ23" s="33">
        <f t="shared" ref="AQ23" si="49">AQ22/AQ7</f>
        <v>0.21347810218430668</v>
      </c>
      <c r="AR23" s="33">
        <f t="shared" ref="AR23" si="50">AR22/AR7</f>
        <v>0.20894915208642362</v>
      </c>
      <c r="AS23" s="33">
        <f t="shared" ref="AS23" si="51">AS22/AS7</f>
        <v>0.21696669484901732</v>
      </c>
      <c r="AT23" s="33">
        <f t="shared" ref="AT23" si="52">AT22/AT7</f>
        <v>0.21282587175227688</v>
      </c>
      <c r="AU23" s="34">
        <f t="shared" ref="AU23" si="53">AU22/AU7</f>
        <v>0.21220229051184711</v>
      </c>
      <c r="BB23" s="23"/>
    </row>
    <row r="24" spans="2:60" x14ac:dyDescent="0.2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0"/>
      <c r="Q24" s="24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30"/>
      <c r="AF24" s="24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30"/>
      <c r="AU24" s="24"/>
    </row>
    <row r="25" spans="2:60" ht="15.75" x14ac:dyDescent="0.25">
      <c r="C25" s="22" t="s">
        <v>13</v>
      </c>
      <c r="D25" s="23">
        <f>D87+D96</f>
        <v>39555.208333333328</v>
      </c>
      <c r="E25" s="23">
        <f>E87+E96</f>
        <v>82363.541666666657</v>
      </c>
      <c r="F25" s="23">
        <f t="shared" ref="F25:P25" si="54">F87+F96</f>
        <v>82363.541666666657</v>
      </c>
      <c r="G25" s="23">
        <f t="shared" si="54"/>
        <v>82363.541666666657</v>
      </c>
      <c r="H25" s="23">
        <f t="shared" si="54"/>
        <v>82363.541666666657</v>
      </c>
      <c r="I25" s="23">
        <f t="shared" si="54"/>
        <v>82363.541666666657</v>
      </c>
      <c r="J25" s="23">
        <f t="shared" si="54"/>
        <v>82363.541666666657</v>
      </c>
      <c r="K25" s="23">
        <f t="shared" si="54"/>
        <v>83363.541666666657</v>
      </c>
      <c r="L25" s="23">
        <f t="shared" si="54"/>
        <v>83363.541666666657</v>
      </c>
      <c r="M25" s="23">
        <f t="shared" si="54"/>
        <v>83363.541666666657</v>
      </c>
      <c r="N25" s="23">
        <f t="shared" si="54"/>
        <v>83363.541666666657</v>
      </c>
      <c r="O25" s="23">
        <f t="shared" si="54"/>
        <v>83363.541666666657</v>
      </c>
      <c r="P25" s="23">
        <f t="shared" si="54"/>
        <v>86832.229166666657</v>
      </c>
      <c r="Q25" s="24">
        <f>SUM(E25:P25)</f>
        <v>997831.18749999965</v>
      </c>
      <c r="S25" s="23" t="s">
        <v>13</v>
      </c>
      <c r="T25" s="23">
        <f>T87+T96</f>
        <v>133901.8125</v>
      </c>
      <c r="U25" s="23">
        <f t="shared" ref="U25:AE25" si="55">U87+U96</f>
        <v>133901.8125</v>
      </c>
      <c r="V25" s="23">
        <f t="shared" si="55"/>
        <v>133901.8125</v>
      </c>
      <c r="W25" s="23">
        <f t="shared" si="55"/>
        <v>133901.8125</v>
      </c>
      <c r="X25" s="23">
        <f t="shared" si="55"/>
        <v>133901.8125</v>
      </c>
      <c r="Y25" s="23">
        <f t="shared" si="55"/>
        <v>133901.8125</v>
      </c>
      <c r="Z25" s="23">
        <f t="shared" si="55"/>
        <v>135901.8125</v>
      </c>
      <c r="AA25" s="23">
        <f t="shared" si="55"/>
        <v>135901.8125</v>
      </c>
      <c r="AB25" s="23">
        <f t="shared" si="55"/>
        <v>135901.8125</v>
      </c>
      <c r="AC25" s="23">
        <f t="shared" si="55"/>
        <v>135901.8125</v>
      </c>
      <c r="AD25" s="23">
        <f t="shared" si="55"/>
        <v>135901.8125</v>
      </c>
      <c r="AE25" s="23">
        <f t="shared" si="55"/>
        <v>139717.36874999999</v>
      </c>
      <c r="AF25" s="24">
        <f>SUM(T25:AE25)</f>
        <v>1622637.3062499999</v>
      </c>
      <c r="AH25" s="23" t="s">
        <v>13</v>
      </c>
      <c r="AI25" s="23">
        <f>AI87+AI96</f>
        <v>193819.11291666667</v>
      </c>
      <c r="AJ25" s="23">
        <f t="shared" ref="AJ25:AT25" si="56">AJ87+AJ96</f>
        <v>193819.11291666667</v>
      </c>
      <c r="AK25" s="23">
        <f t="shared" si="56"/>
        <v>193819.11291666667</v>
      </c>
      <c r="AL25" s="23">
        <f t="shared" si="56"/>
        <v>193819.11291666667</v>
      </c>
      <c r="AM25" s="23">
        <f t="shared" si="56"/>
        <v>193819.11291666667</v>
      </c>
      <c r="AN25" s="23">
        <f t="shared" si="56"/>
        <v>193819.11291666667</v>
      </c>
      <c r="AO25" s="23">
        <f t="shared" si="56"/>
        <v>194619.11291666667</v>
      </c>
      <c r="AP25" s="23">
        <f t="shared" si="56"/>
        <v>194619.11291666667</v>
      </c>
      <c r="AQ25" s="23">
        <f t="shared" si="56"/>
        <v>194619.11291666667</v>
      </c>
      <c r="AR25" s="23">
        <f t="shared" si="56"/>
        <v>194619.11291666667</v>
      </c>
      <c r="AS25" s="23">
        <f t="shared" si="56"/>
        <v>194619.11291666667</v>
      </c>
      <c r="AT25" s="23">
        <f t="shared" si="56"/>
        <v>198816.22479166664</v>
      </c>
      <c r="AU25" s="24">
        <f>SUM(AI25:AT25)</f>
        <v>2334826.4668749995</v>
      </c>
      <c r="AX25" s="25">
        <f>+AF25/Q25-1</f>
        <v>0.62616415138858383</v>
      </c>
      <c r="AY25" s="25">
        <f>+AU25/AF25-1</f>
        <v>0.43890841032794081</v>
      </c>
    </row>
    <row r="26" spans="2:60" x14ac:dyDescent="0.2">
      <c r="C26" s="33" t="s">
        <v>7</v>
      </c>
      <c r="D26" s="33"/>
      <c r="E26" s="33">
        <f t="shared" ref="E26:Q26" si="57">E25/E7</f>
        <v>0.18836593639847052</v>
      </c>
      <c r="F26" s="33">
        <f t="shared" si="57"/>
        <v>0.15941946600837437</v>
      </c>
      <c r="G26" s="33">
        <f t="shared" si="57"/>
        <v>0.13712544921380948</v>
      </c>
      <c r="H26" s="33">
        <f t="shared" si="57"/>
        <v>0.16741948634561757</v>
      </c>
      <c r="I26" s="33">
        <f t="shared" si="57"/>
        <v>0.12746513758700276</v>
      </c>
      <c r="J26" s="33">
        <f t="shared" si="57"/>
        <v>8.7491232037229347E-2</v>
      </c>
      <c r="K26" s="33">
        <f t="shared" si="57"/>
        <v>0.11839591310891796</v>
      </c>
      <c r="L26" s="33">
        <f t="shared" si="57"/>
        <v>9.2737289863611932E-2</v>
      </c>
      <c r="M26" s="33">
        <f t="shared" si="57"/>
        <v>7.6113504809269039E-2</v>
      </c>
      <c r="N26" s="33">
        <f t="shared" si="57"/>
        <v>5.1068470574885498E-2</v>
      </c>
      <c r="O26" s="33">
        <f t="shared" si="57"/>
        <v>5.2491331325969191E-2</v>
      </c>
      <c r="P26" s="33">
        <f t="shared" si="57"/>
        <v>3.2011588103210246E-2</v>
      </c>
      <c r="Q26" s="34">
        <f t="shared" si="57"/>
        <v>8.1353373758056943E-2</v>
      </c>
      <c r="S26" s="33" t="s">
        <v>7</v>
      </c>
      <c r="T26" s="33">
        <f t="shared" ref="T26:AF26" si="58">T25/T7</f>
        <v>0.18912176502768044</v>
      </c>
      <c r="U26" s="33">
        <f t="shared" si="58"/>
        <v>0.16155059179585643</v>
      </c>
      <c r="V26" s="33">
        <f t="shared" si="58"/>
        <v>0.14099623294818395</v>
      </c>
      <c r="W26" s="33">
        <f t="shared" si="58"/>
        <v>0.17227781827283131</v>
      </c>
      <c r="X26" s="33">
        <f t="shared" si="58"/>
        <v>0.12884231720923817</v>
      </c>
      <c r="Y26" s="33">
        <f t="shared" si="58"/>
        <v>8.9338673066369154E-2</v>
      </c>
      <c r="Z26" s="33">
        <f t="shared" si="58"/>
        <v>0.12066610301146512</v>
      </c>
      <c r="AA26" s="33">
        <f t="shared" si="58"/>
        <v>9.5368820104071134E-2</v>
      </c>
      <c r="AB26" s="33">
        <f t="shared" si="58"/>
        <v>7.9331195647873054E-2</v>
      </c>
      <c r="AC26" s="33">
        <f t="shared" si="58"/>
        <v>5.0973994684162874E-2</v>
      </c>
      <c r="AD26" s="33">
        <f t="shared" si="58"/>
        <v>5.6391537279896327E-2</v>
      </c>
      <c r="AE26" s="33">
        <f t="shared" si="58"/>
        <v>3.2736372723597952E-2</v>
      </c>
      <c r="AF26" s="34">
        <f t="shared" si="58"/>
        <v>8.3596822436564272E-2</v>
      </c>
      <c r="AH26" s="33" t="s">
        <v>7</v>
      </c>
      <c r="AI26" s="33">
        <f t="shared" ref="AI26" si="59">AI25/AI7</f>
        <v>0.16690422996281068</v>
      </c>
      <c r="AJ26" s="33">
        <f t="shared" ref="AJ26" si="60">AJ25/AJ7</f>
        <v>0.14359986125831689</v>
      </c>
      <c r="AK26" s="33">
        <f t="shared" ref="AK26" si="61">AK25/AK7</f>
        <v>0.1267811409582518</v>
      </c>
      <c r="AL26" s="33">
        <f t="shared" ref="AL26" si="62">AL25/AL7</f>
        <v>0.15500450703875643</v>
      </c>
      <c r="AM26" s="33">
        <f t="shared" ref="AM26" si="63">AM25/AM7</f>
        <v>0.11430017384913221</v>
      </c>
      <c r="AN26" s="33">
        <f t="shared" ref="AN26" si="64">AN25/AN7</f>
        <v>7.9888734939427206E-2</v>
      </c>
      <c r="AO26" s="33">
        <f t="shared" ref="AO26" si="65">AO25/AO7</f>
        <v>0.10636185918933692</v>
      </c>
      <c r="AP26" s="33">
        <f t="shared" ref="AP26" si="66">AP25/AP7</f>
        <v>8.4663459782003889E-2</v>
      </c>
      <c r="AQ26" s="33">
        <f t="shared" ref="AQ26" si="67">AQ25/AQ7</f>
        <v>7.1193679287801084E-2</v>
      </c>
      <c r="AR26" s="33">
        <f t="shared" ref="AR26" si="68">AR25/AR7</f>
        <v>4.4215319911890275E-2</v>
      </c>
      <c r="AS26" s="33">
        <f t="shared" ref="AS26" si="69">AS25/AS7</f>
        <v>5.1910835688868312E-2</v>
      </c>
      <c r="AT26" s="33">
        <f t="shared" ref="AT26" si="70">AT25/AT7</f>
        <v>2.9051753081964601E-2</v>
      </c>
      <c r="AU26" s="34">
        <f t="shared" ref="AU26" si="71">AU25/AU7</f>
        <v>7.4670496744783432E-2</v>
      </c>
    </row>
    <row r="27" spans="2:60" x14ac:dyDescent="0.2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4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4"/>
    </row>
    <row r="28" spans="2:60" ht="15.75" x14ac:dyDescent="0.25">
      <c r="B28" s="23"/>
      <c r="C28" s="23" t="s">
        <v>15</v>
      </c>
      <c r="D28" s="22">
        <f>D22-D25</f>
        <v>-39555.208333333328</v>
      </c>
      <c r="E28" s="22">
        <f>E22-E25</f>
        <v>11089.404521741875</v>
      </c>
      <c r="F28" s="22">
        <f t="shared" ref="F28:P28" si="72">F22-F25</f>
        <v>28876.153992541513</v>
      </c>
      <c r="G28" s="22">
        <f t="shared" si="72"/>
        <v>48436.771767193073</v>
      </c>
      <c r="H28" s="22">
        <f t="shared" si="72"/>
        <v>24832.185169853474</v>
      </c>
      <c r="I28" s="22">
        <f t="shared" si="72"/>
        <v>56484.41423550222</v>
      </c>
      <c r="J28" s="22">
        <f t="shared" si="72"/>
        <v>121542.27702514207</v>
      </c>
      <c r="K28" s="22">
        <f t="shared" si="72"/>
        <v>68591.842561002792</v>
      </c>
      <c r="L28" s="22">
        <f t="shared" si="72"/>
        <v>111997.78545410591</v>
      </c>
      <c r="M28" s="22">
        <f t="shared" si="72"/>
        <v>157118.70892845406</v>
      </c>
      <c r="N28" s="22">
        <f t="shared" si="72"/>
        <v>263100.35407659935</v>
      </c>
      <c r="O28" s="22">
        <f t="shared" si="72"/>
        <v>273184.81410496042</v>
      </c>
      <c r="P28" s="22">
        <f t="shared" si="72"/>
        <v>506073.80062718538</v>
      </c>
      <c r="Q28" s="44">
        <f>SUM(E28:P28)</f>
        <v>1671328.5124642821</v>
      </c>
      <c r="R28" s="6"/>
      <c r="S28" s="22" t="s">
        <v>15</v>
      </c>
      <c r="T28" s="22">
        <f>T22-T25</f>
        <v>15853.203016330488</v>
      </c>
      <c r="U28" s="22">
        <f t="shared" ref="U28:AE28" si="73">U22-U25</f>
        <v>42441.955643530004</v>
      </c>
      <c r="V28" s="22">
        <f t="shared" si="73"/>
        <v>70025.024802218541</v>
      </c>
      <c r="W28" s="22">
        <f t="shared" si="73"/>
        <v>33078.428290943964</v>
      </c>
      <c r="X28" s="22">
        <f t="shared" si="73"/>
        <v>86854.945512322709</v>
      </c>
      <c r="Y28" s="22">
        <f t="shared" si="73"/>
        <v>186523.05029125046</v>
      </c>
      <c r="Z28" s="22">
        <f t="shared" si="73"/>
        <v>104166.77038532717</v>
      </c>
      <c r="AA28" s="22">
        <f t="shared" si="73"/>
        <v>169584.79677962977</v>
      </c>
      <c r="AB28" s="22">
        <f t="shared" si="73"/>
        <v>234498.09753630497</v>
      </c>
      <c r="AC28" s="22">
        <f t="shared" si="73"/>
        <v>424960.76528435946</v>
      </c>
      <c r="AD28" s="22">
        <f t="shared" si="73"/>
        <v>395404.84697799664</v>
      </c>
      <c r="AE28" s="22">
        <f t="shared" si="73"/>
        <v>779595.11474795907</v>
      </c>
      <c r="AF28" s="44">
        <f>SUM(T28:AE28)</f>
        <v>2542986.9992681732</v>
      </c>
      <c r="AG28" s="6"/>
      <c r="AH28" s="22" t="s">
        <v>15</v>
      </c>
      <c r="AI28" s="22">
        <f>AI22-AI25</f>
        <v>49826.421856337576</v>
      </c>
      <c r="AJ28" s="22">
        <f t="shared" ref="AJ28:AT28" si="74">AJ22-AJ25</f>
        <v>90648.835554784979</v>
      </c>
      <c r="AK28" s="22">
        <f t="shared" si="74"/>
        <v>130736.07585469272</v>
      </c>
      <c r="AL28" s="22">
        <f t="shared" si="74"/>
        <v>71744.302630570251</v>
      </c>
      <c r="AM28" s="22">
        <f t="shared" si="74"/>
        <v>163125.65527864441</v>
      </c>
      <c r="AN28" s="22">
        <f t="shared" si="74"/>
        <v>319445.1190466698</v>
      </c>
      <c r="AO28" s="22">
        <f t="shared" si="74"/>
        <v>191590.7936263365</v>
      </c>
      <c r="AP28" s="22">
        <f t="shared" si="74"/>
        <v>292754.94666788366</v>
      </c>
      <c r="AQ28" s="22">
        <f t="shared" si="74"/>
        <v>388956.83497457101</v>
      </c>
      <c r="AR28" s="22">
        <f t="shared" si="74"/>
        <v>725096.01534171251</v>
      </c>
      <c r="AS28" s="22">
        <f t="shared" si="74"/>
        <v>618811.55379540322</v>
      </c>
      <c r="AT28" s="22">
        <f t="shared" si="74"/>
        <v>1257661.6765729587</v>
      </c>
      <c r="AU28" s="44">
        <f>SUM(AI28:AT28)</f>
        <v>4300398.2312005656</v>
      </c>
      <c r="AX28" s="25">
        <f>+AF28/Q28-1</f>
        <v>0.52153629900005627</v>
      </c>
      <c r="AY28" s="25">
        <f>+AU28/AF28-1</f>
        <v>0.69108148505601652</v>
      </c>
    </row>
    <row r="29" spans="2:60" ht="15.75" x14ac:dyDescent="0.25">
      <c r="C29" s="33" t="s">
        <v>7</v>
      </c>
      <c r="D29" s="45"/>
      <c r="E29" s="45">
        <f t="shared" ref="E29:Q29" si="75">E28/E7</f>
        <v>2.5361537697021184E-2</v>
      </c>
      <c r="F29" s="45">
        <f t="shared" si="75"/>
        <v>5.5891489811075057E-2</v>
      </c>
      <c r="G29" s="45">
        <f t="shared" si="75"/>
        <v>8.0641433729544965E-2</v>
      </c>
      <c r="H29" s="45">
        <f t="shared" si="75"/>
        <v>5.0476116032036396E-2</v>
      </c>
      <c r="I29" s="45">
        <f t="shared" si="75"/>
        <v>8.7414813476426503E-2</v>
      </c>
      <c r="J29" s="45">
        <f t="shared" si="75"/>
        <v>0.12910911000617586</v>
      </c>
      <c r="K29" s="45">
        <f t="shared" si="75"/>
        <v>9.7416612459980081E-2</v>
      </c>
      <c r="L29" s="45">
        <f t="shared" si="75"/>
        <v>0.12459128878269676</v>
      </c>
      <c r="M29" s="45">
        <f t="shared" si="75"/>
        <v>0.1434542651207181</v>
      </c>
      <c r="N29" s="45">
        <f t="shared" si="75"/>
        <v>0.16117516628705419</v>
      </c>
      <c r="O29" s="45">
        <f t="shared" si="75"/>
        <v>0.17201565940834584</v>
      </c>
      <c r="P29" s="45">
        <f t="shared" si="75"/>
        <v>0.18656927515253266</v>
      </c>
      <c r="Q29" s="46">
        <f t="shared" si="75"/>
        <v>0.1362637436575454</v>
      </c>
      <c r="R29" s="6"/>
      <c r="S29" s="45" t="s">
        <v>7</v>
      </c>
      <c r="T29" s="45">
        <f t="shared" ref="T29:AF29" si="76">T28/T7</f>
        <v>2.239092720115771E-2</v>
      </c>
      <c r="U29" s="45">
        <f t="shared" si="76"/>
        <v>5.1205602994998746E-2</v>
      </c>
      <c r="V29" s="45">
        <f t="shared" si="76"/>
        <v>7.3735108770211485E-2</v>
      </c>
      <c r="W29" s="45">
        <f t="shared" si="76"/>
        <v>4.2558643168912495E-2</v>
      </c>
      <c r="X29" s="45">
        <f t="shared" si="76"/>
        <v>8.3573121468313055E-2</v>
      </c>
      <c r="Y29" s="45">
        <f t="shared" si="76"/>
        <v>0.12444732075088198</v>
      </c>
      <c r="Z29" s="45">
        <f t="shared" si="76"/>
        <v>9.2488819791770788E-2</v>
      </c>
      <c r="AA29" s="45">
        <f t="shared" si="76"/>
        <v>0.11900578571357887</v>
      </c>
      <c r="AB29" s="45">
        <f t="shared" si="76"/>
        <v>0.13688569793509286</v>
      </c>
      <c r="AC29" s="45">
        <f t="shared" si="76"/>
        <v>0.15939410514177452</v>
      </c>
      <c r="AD29" s="45">
        <f t="shared" si="76"/>
        <v>0.1640705650560135</v>
      </c>
      <c r="AE29" s="45">
        <f t="shared" si="76"/>
        <v>0.18266244546553773</v>
      </c>
      <c r="AF29" s="46">
        <f t="shared" si="76"/>
        <v>0.13101241529298341</v>
      </c>
      <c r="AG29" s="6"/>
      <c r="AH29" s="45" t="s">
        <v>7</v>
      </c>
      <c r="AI29" s="45">
        <f t="shared" ref="AI29" si="77">AI28/AI7</f>
        <v>4.290722646795822E-2</v>
      </c>
      <c r="AJ29" s="45">
        <f t="shared" ref="AJ29" si="78">AJ28/AJ7</f>
        <v>6.7161385752972105E-2</v>
      </c>
      <c r="AK29" s="45">
        <f t="shared" ref="AK29" si="79">AK28/AK7</f>
        <v>8.5517205253069814E-2</v>
      </c>
      <c r="AL29" s="45">
        <f t="shared" ref="AL29" si="80">AL28/AL7</f>
        <v>5.7376644102546712E-2</v>
      </c>
      <c r="AM29" s="45">
        <f t="shared" ref="AM29" si="81">AM28/AM7</f>
        <v>9.6199443269659832E-2</v>
      </c>
      <c r="AN29" s="45">
        <f t="shared" ref="AN29" si="82">AN28/AN7</f>
        <v>0.13166950389555043</v>
      </c>
      <c r="AO29" s="45">
        <f t="shared" ref="AO29" si="83">AO28/AO7</f>
        <v>0.10470684357904397</v>
      </c>
      <c r="AP29" s="45">
        <f t="shared" ref="AP29" si="84">AP28/AP7</f>
        <v>0.12735463789628898</v>
      </c>
      <c r="AQ29" s="45">
        <f t="shared" ref="AQ29" si="85">AQ28/AQ7</f>
        <v>0.14228442289650561</v>
      </c>
      <c r="AR29" s="45">
        <f t="shared" ref="AR29" si="86">AR28/AR7</f>
        <v>0.16473383217453333</v>
      </c>
      <c r="AS29" s="45">
        <f t="shared" ref="AS29" si="87">AS28/AS7</f>
        <v>0.165055859160149</v>
      </c>
      <c r="AT29" s="45">
        <f t="shared" ref="AT29" si="88">AT28/AT7</f>
        <v>0.18377411867031226</v>
      </c>
      <c r="AU29" s="46">
        <f t="shared" ref="AU29" si="89">AU28/AU7</f>
        <v>0.13753179376706365</v>
      </c>
    </row>
    <row r="30" spans="2:60" x14ac:dyDescent="0.2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30"/>
      <c r="Q30" s="24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30"/>
      <c r="AF30" s="24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30"/>
      <c r="AU30" s="24"/>
    </row>
    <row r="31" spans="2:60" x14ac:dyDescent="0.2">
      <c r="C31" s="38" t="s">
        <v>14</v>
      </c>
      <c r="D31" s="38">
        <f t="shared" ref="D31" si="90">D103</f>
        <v>0</v>
      </c>
      <c r="E31" s="38">
        <f>E103</f>
        <v>51105.808595982271</v>
      </c>
      <c r="F31" s="38">
        <f t="shared" ref="F31:P31" si="91">F103</f>
        <v>51105.808595982271</v>
      </c>
      <c r="G31" s="38">
        <f t="shared" si="91"/>
        <v>51105.808595982271</v>
      </c>
      <c r="H31" s="38">
        <f t="shared" si="91"/>
        <v>51105.808595982271</v>
      </c>
      <c r="I31" s="38">
        <f t="shared" si="91"/>
        <v>51105.808595982271</v>
      </c>
      <c r="J31" s="38">
        <f t="shared" si="91"/>
        <v>51105.808595982271</v>
      </c>
      <c r="K31" s="38">
        <f t="shared" si="91"/>
        <v>51105.808595982271</v>
      </c>
      <c r="L31" s="38">
        <f t="shared" si="91"/>
        <v>51105.808595982271</v>
      </c>
      <c r="M31" s="38">
        <f t="shared" si="91"/>
        <v>51105.808595982271</v>
      </c>
      <c r="N31" s="38">
        <f t="shared" si="91"/>
        <v>51105.808595982271</v>
      </c>
      <c r="O31" s="38">
        <f t="shared" si="91"/>
        <v>51105.808595982271</v>
      </c>
      <c r="P31" s="38">
        <f t="shared" si="91"/>
        <v>51105.808595982271</v>
      </c>
      <c r="Q31" s="39">
        <f>SUM(E31:P31)</f>
        <v>613269.70315178728</v>
      </c>
      <c r="S31" s="38" t="s">
        <v>14</v>
      </c>
      <c r="T31" s="38">
        <f>T103</f>
        <v>80876.145515843062</v>
      </c>
      <c r="U31" s="38">
        <f t="shared" ref="U31:AE31" si="92">U103</f>
        <v>80876.145515843062</v>
      </c>
      <c r="V31" s="38">
        <f t="shared" si="92"/>
        <v>80876.145515843062</v>
      </c>
      <c r="W31" s="38">
        <f t="shared" si="92"/>
        <v>80876.145515843062</v>
      </c>
      <c r="X31" s="38">
        <f t="shared" si="92"/>
        <v>80876.145515843062</v>
      </c>
      <c r="Y31" s="38">
        <f t="shared" si="92"/>
        <v>80876.145515843062</v>
      </c>
      <c r="Z31" s="38">
        <f t="shared" si="92"/>
        <v>80876.145515843062</v>
      </c>
      <c r="AA31" s="38">
        <f t="shared" si="92"/>
        <v>80876.145515843062</v>
      </c>
      <c r="AB31" s="38">
        <f t="shared" si="92"/>
        <v>80876.145515843062</v>
      </c>
      <c r="AC31" s="38">
        <f t="shared" si="92"/>
        <v>80876.145515843062</v>
      </c>
      <c r="AD31" s="38">
        <f t="shared" si="92"/>
        <v>80876.145515843062</v>
      </c>
      <c r="AE31" s="38">
        <f t="shared" si="92"/>
        <v>80876.145515843062</v>
      </c>
      <c r="AF31" s="39">
        <f>SUM(T31:AE31)</f>
        <v>970513.74619011674</v>
      </c>
      <c r="AH31" s="38" t="s">
        <v>14</v>
      </c>
      <c r="AI31" s="38">
        <f t="shared" ref="AI31:AT31" si="93">AI103</f>
        <v>130284.9724601411</v>
      </c>
      <c r="AJ31" s="38">
        <f t="shared" si="93"/>
        <v>130284.9724601411</v>
      </c>
      <c r="AK31" s="38">
        <f t="shared" si="93"/>
        <v>130284.9724601411</v>
      </c>
      <c r="AL31" s="38">
        <f t="shared" si="93"/>
        <v>130284.9724601411</v>
      </c>
      <c r="AM31" s="38">
        <f t="shared" si="93"/>
        <v>130284.9724601411</v>
      </c>
      <c r="AN31" s="38">
        <f t="shared" si="93"/>
        <v>130284.9724601411</v>
      </c>
      <c r="AO31" s="38">
        <f t="shared" si="93"/>
        <v>130284.9724601411</v>
      </c>
      <c r="AP31" s="38">
        <f t="shared" si="93"/>
        <v>130284.9724601411</v>
      </c>
      <c r="AQ31" s="38">
        <f t="shared" si="93"/>
        <v>130284.9724601411</v>
      </c>
      <c r="AR31" s="38">
        <f t="shared" si="93"/>
        <v>130284.9724601411</v>
      </c>
      <c r="AS31" s="38">
        <f t="shared" si="93"/>
        <v>130284.9724601411</v>
      </c>
      <c r="AT31" s="38">
        <f t="shared" si="93"/>
        <v>130284.9724601411</v>
      </c>
      <c r="AU31" s="39">
        <f>SUM(AI31:AT31)</f>
        <v>1563419.6695216934</v>
      </c>
      <c r="AX31" s="25">
        <f>+AF31/Q31-1</f>
        <v>0.58252354747403823</v>
      </c>
      <c r="AY31" s="25">
        <f>+AU31/AF31-1</f>
        <v>0.61091965534657211</v>
      </c>
    </row>
    <row r="32" spans="2:60" x14ac:dyDescent="0.2">
      <c r="C32" s="47" t="s">
        <v>7</v>
      </c>
      <c r="D32" s="47"/>
      <c r="E32" s="47">
        <f t="shared" ref="E32:Q32" si="94">E31/E7</f>
        <v>0.11687930480870982</v>
      </c>
      <c r="F32" s="47">
        <f t="shared" si="94"/>
        <v>9.891829019774849E-2</v>
      </c>
      <c r="G32" s="47">
        <f t="shared" si="94"/>
        <v>8.5085060930486969E-2</v>
      </c>
      <c r="H32" s="47">
        <f t="shared" si="94"/>
        <v>0.10388222812278045</v>
      </c>
      <c r="I32" s="47">
        <f t="shared" si="94"/>
        <v>7.9090927762013347E-2</v>
      </c>
      <c r="J32" s="47">
        <f t="shared" si="94"/>
        <v>5.4287492594929272E-2</v>
      </c>
      <c r="K32" s="47">
        <f t="shared" si="94"/>
        <v>7.2582315397359376E-2</v>
      </c>
      <c r="L32" s="47">
        <f t="shared" si="94"/>
        <v>5.6852361244807303E-2</v>
      </c>
      <c r="M32" s="47">
        <f t="shared" si="94"/>
        <v>4.6661191818188466E-2</v>
      </c>
      <c r="N32" s="47">
        <f t="shared" si="94"/>
        <v>3.1307396858514601E-2</v>
      </c>
      <c r="O32" s="47">
        <f t="shared" si="94"/>
        <v>3.2179678047027191E-2</v>
      </c>
      <c r="P32" s="47">
        <f t="shared" si="94"/>
        <v>1.8840678284510849E-2</v>
      </c>
      <c r="Q32" s="48">
        <f t="shared" si="94"/>
        <v>0.05</v>
      </c>
      <c r="S32" s="47" t="s">
        <v>7</v>
      </c>
      <c r="T32" s="47">
        <f t="shared" ref="T32:AF32" si="95">T31/T7</f>
        <v>0.11422877034313306</v>
      </c>
      <c r="U32" s="47">
        <f t="shared" si="95"/>
        <v>9.7575894801664814E-2</v>
      </c>
      <c r="V32" s="47">
        <f t="shared" si="95"/>
        <v>8.5161146366880061E-2</v>
      </c>
      <c r="W32" s="47">
        <f t="shared" si="95"/>
        <v>0.10405509559316438</v>
      </c>
      <c r="X32" s="47">
        <f t="shared" si="95"/>
        <v>7.7820231113098312E-2</v>
      </c>
      <c r="Y32" s="47">
        <f t="shared" si="95"/>
        <v>5.3960192085585112E-2</v>
      </c>
      <c r="Z32" s="47">
        <f t="shared" si="95"/>
        <v>7.1809265281027518E-2</v>
      </c>
      <c r="AA32" s="47">
        <f t="shared" si="95"/>
        <v>5.6754670379477949E-2</v>
      </c>
      <c r="AB32" s="47">
        <f t="shared" si="95"/>
        <v>4.7210564783035522E-2</v>
      </c>
      <c r="AC32" s="47">
        <f t="shared" si="95"/>
        <v>3.0334990650696197E-2</v>
      </c>
      <c r="AD32" s="47">
        <f t="shared" si="95"/>
        <v>3.3559009192103188E-2</v>
      </c>
      <c r="AE32" s="47">
        <f t="shared" si="95"/>
        <v>1.8949624286097096E-2</v>
      </c>
      <c r="AF32" s="48">
        <f t="shared" si="95"/>
        <v>0.05</v>
      </c>
      <c r="AH32" s="47" t="s">
        <v>7</v>
      </c>
      <c r="AI32" s="47">
        <f t="shared" ref="AI32" si="96">AI31/AI7</f>
        <v>0.11219282080573369</v>
      </c>
      <c r="AJ32" s="47">
        <f t="shared" ref="AJ32" si="97">AJ31/AJ7</f>
        <v>9.6527652447588444E-2</v>
      </c>
      <c r="AK32" s="47">
        <f t="shared" ref="AK32" si="98">AK31/AK7</f>
        <v>8.5222129075128661E-2</v>
      </c>
      <c r="AL32" s="47">
        <f t="shared" ref="AL32" si="99">AL31/AL7</f>
        <v>0.10419384149913506</v>
      </c>
      <c r="AM32" s="47">
        <f t="shared" ref="AM32" si="100">AM31/AM7</f>
        <v>7.6832438132797734E-2</v>
      </c>
      <c r="AN32" s="47">
        <f t="shared" ref="AN32" si="101">AN31/AN7</f>
        <v>5.3701110663600435E-2</v>
      </c>
      <c r="AO32" s="47">
        <f t="shared" ref="AO32" si="102">AO31/AO7</f>
        <v>7.1202420397557267E-2</v>
      </c>
      <c r="AP32" s="47">
        <f t="shared" ref="AP32" si="103">AP31/AP7</f>
        <v>5.6676738274938611E-2</v>
      </c>
      <c r="AQ32" s="47">
        <f t="shared" ref="AQ32" si="104">AQ31/AQ7</f>
        <v>4.7659587007360955E-2</v>
      </c>
      <c r="AR32" s="47">
        <f t="shared" ref="AR32" si="105">AR31/AR7</f>
        <v>2.9599311448426764E-2</v>
      </c>
      <c r="AS32" s="47">
        <f t="shared" ref="AS32" si="106">AS31/AS7</f>
        <v>3.4750964058720336E-2</v>
      </c>
      <c r="AT32" s="47">
        <f t="shared" ref="AT32" si="107">AT31/AT7</f>
        <v>1.9037716132920081E-2</v>
      </c>
      <c r="AU32" s="48">
        <f t="shared" ref="AU32" si="108">AU31/AU7</f>
        <v>5.0000000000000017E-2</v>
      </c>
    </row>
    <row r="33" spans="1:51" x14ac:dyDescent="0.2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Q33" s="24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F33" s="24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U33" s="24"/>
    </row>
    <row r="34" spans="1:51" x14ac:dyDescent="0.2">
      <c r="C34" s="23" t="s">
        <v>16</v>
      </c>
      <c r="D34" s="23">
        <f t="shared" ref="D34" si="109">(D28-D31)</f>
        <v>-39555.208333333328</v>
      </c>
      <c r="E34" s="23">
        <f t="shared" ref="E34:P34" si="110">(E28-E31)</f>
        <v>-40016.404074240396</v>
      </c>
      <c r="F34" s="23">
        <f t="shared" si="110"/>
        <v>-22229.654603440758</v>
      </c>
      <c r="G34" s="23">
        <f t="shared" si="110"/>
        <v>-2669.0368287891979</v>
      </c>
      <c r="H34" s="23">
        <f t="shared" si="110"/>
        <v>-26273.623426128797</v>
      </c>
      <c r="I34" s="23">
        <f t="shared" si="110"/>
        <v>5378.6056395199485</v>
      </c>
      <c r="J34" s="23">
        <f t="shared" si="110"/>
        <v>70436.46842915981</v>
      </c>
      <c r="K34" s="23">
        <f t="shared" si="110"/>
        <v>17486.033965020521</v>
      </c>
      <c r="L34" s="23">
        <f t="shared" si="110"/>
        <v>60891.976858123635</v>
      </c>
      <c r="M34" s="23">
        <f t="shared" si="110"/>
        <v>106012.90033247179</v>
      </c>
      <c r="N34" s="23">
        <f t="shared" si="110"/>
        <v>211994.54548061709</v>
      </c>
      <c r="O34" s="23">
        <f t="shared" si="110"/>
        <v>222079.00550897815</v>
      </c>
      <c r="P34" s="23">
        <f t="shared" si="110"/>
        <v>454967.99203120312</v>
      </c>
      <c r="Q34" s="24">
        <f>SUM(E34:P34)</f>
        <v>1058058.8093124949</v>
      </c>
      <c r="S34" s="23" t="s">
        <v>16</v>
      </c>
      <c r="T34" s="23">
        <f t="shared" ref="T34:AE34" si="111">(T28-T31)</f>
        <v>-65022.942499512574</v>
      </c>
      <c r="U34" s="23">
        <f t="shared" si="111"/>
        <v>-38434.189872313058</v>
      </c>
      <c r="V34" s="23">
        <f t="shared" si="111"/>
        <v>-10851.120713624521</v>
      </c>
      <c r="W34" s="23">
        <f t="shared" si="111"/>
        <v>-47797.717224899097</v>
      </c>
      <c r="X34" s="23">
        <f t="shared" si="111"/>
        <v>5978.7999964796472</v>
      </c>
      <c r="Y34" s="23">
        <f t="shared" si="111"/>
        <v>105646.9047754074</v>
      </c>
      <c r="Z34" s="23">
        <f t="shared" si="111"/>
        <v>23290.624869484105</v>
      </c>
      <c r="AA34" s="23">
        <f t="shared" si="111"/>
        <v>88708.651263786713</v>
      </c>
      <c r="AB34" s="23">
        <f t="shared" si="111"/>
        <v>153621.9520204619</v>
      </c>
      <c r="AC34" s="23">
        <f t="shared" si="111"/>
        <v>344084.61976851639</v>
      </c>
      <c r="AD34" s="23">
        <f t="shared" si="111"/>
        <v>314528.70146215358</v>
      </c>
      <c r="AE34" s="23">
        <f t="shared" si="111"/>
        <v>698718.96923211601</v>
      </c>
      <c r="AF34" s="24">
        <f>SUM(T34:AE34)</f>
        <v>1572473.2530780565</v>
      </c>
      <c r="AH34" s="23" t="s">
        <v>16</v>
      </c>
      <c r="AI34" s="23">
        <f t="shared" ref="AI34:AT34" si="112">(AI28-AI31)</f>
        <v>-80458.550603803524</v>
      </c>
      <c r="AJ34" s="23">
        <f t="shared" si="112"/>
        <v>-39636.136905356121</v>
      </c>
      <c r="AK34" s="23">
        <f t="shared" si="112"/>
        <v>451.10339455162466</v>
      </c>
      <c r="AL34" s="23">
        <f t="shared" si="112"/>
        <v>-58540.669829570848</v>
      </c>
      <c r="AM34" s="23">
        <f t="shared" si="112"/>
        <v>32840.682818503308</v>
      </c>
      <c r="AN34" s="23">
        <f t="shared" si="112"/>
        <v>189160.14658652869</v>
      </c>
      <c r="AO34" s="23">
        <f t="shared" si="112"/>
        <v>61305.821166195397</v>
      </c>
      <c r="AP34" s="23">
        <f t="shared" si="112"/>
        <v>162469.97420774255</v>
      </c>
      <c r="AQ34" s="23">
        <f t="shared" si="112"/>
        <v>258671.8625144299</v>
      </c>
      <c r="AR34" s="23">
        <f t="shared" si="112"/>
        <v>594811.04288157145</v>
      </c>
      <c r="AS34" s="23">
        <f t="shared" si="112"/>
        <v>488526.5813352621</v>
      </c>
      <c r="AT34" s="23">
        <f t="shared" si="112"/>
        <v>1127376.7041128175</v>
      </c>
      <c r="AU34" s="24">
        <f>SUM(AI34:AT34)</f>
        <v>2736978.5616788724</v>
      </c>
      <c r="AX34" s="25">
        <f>+AF34/Q34-1</f>
        <v>0.48618700514370983</v>
      </c>
      <c r="AY34" s="25">
        <f>+AU34/AF34-1</f>
        <v>0.74055651269192735</v>
      </c>
    </row>
    <row r="35" spans="1:51" x14ac:dyDescent="0.2">
      <c r="C35" s="33" t="s">
        <v>7</v>
      </c>
      <c r="D35" s="33"/>
      <c r="E35" s="33">
        <f t="shared" ref="E35:Q35" si="113">E34/E7</f>
        <v>-9.1517767111688644E-2</v>
      </c>
      <c r="F35" s="33">
        <f t="shared" si="113"/>
        <v>-4.302680038667344E-2</v>
      </c>
      <c r="G35" s="33">
        <f t="shared" si="113"/>
        <v>-4.4436272009420064E-3</v>
      </c>
      <c r="H35" s="33">
        <f t="shared" si="113"/>
        <v>-5.340611209074405E-2</v>
      </c>
      <c r="I35" s="33">
        <f t="shared" si="113"/>
        <v>8.323885714413155E-3</v>
      </c>
      <c r="J35" s="33">
        <f t="shared" si="113"/>
        <v>7.4821617411246585E-2</v>
      </c>
      <c r="K35" s="33">
        <f t="shared" si="113"/>
        <v>2.4834297062620695E-2</v>
      </c>
      <c r="L35" s="33">
        <f t="shared" si="113"/>
        <v>6.773892753788946E-2</v>
      </c>
      <c r="M35" s="33">
        <f t="shared" si="113"/>
        <v>9.6793073302529647E-2</v>
      </c>
      <c r="N35" s="33">
        <f t="shared" si="113"/>
        <v>0.12986776942853961</v>
      </c>
      <c r="O35" s="33">
        <f t="shared" si="113"/>
        <v>0.13983598136131867</v>
      </c>
      <c r="P35" s="33">
        <f t="shared" si="113"/>
        <v>0.1677285968680218</v>
      </c>
      <c r="Q35" s="34">
        <f t="shared" si="113"/>
        <v>8.6263743657545411E-2</v>
      </c>
      <c r="S35" s="33" t="s">
        <v>7</v>
      </c>
      <c r="T35" s="33">
        <f t="shared" ref="T35:AF35" si="114">T34/T7</f>
        <v>-9.183784314197535E-2</v>
      </c>
      <c r="U35" s="33">
        <f t="shared" si="114"/>
        <v>-4.6370291806666068E-2</v>
      </c>
      <c r="V35" s="33">
        <f t="shared" si="114"/>
        <v>-1.1426037596668581E-2</v>
      </c>
      <c r="W35" s="33">
        <f t="shared" si="114"/>
        <v>-6.1496452424251884E-2</v>
      </c>
      <c r="X35" s="33">
        <f t="shared" si="114"/>
        <v>5.7528903552147414E-3</v>
      </c>
      <c r="Y35" s="33">
        <f t="shared" si="114"/>
        <v>7.0487128665296869E-2</v>
      </c>
      <c r="Z35" s="33">
        <f t="shared" si="114"/>
        <v>2.0679554510743266E-2</v>
      </c>
      <c r="AA35" s="33">
        <f t="shared" si="114"/>
        <v>6.2251115334100916E-2</v>
      </c>
      <c r="AB35" s="33">
        <f t="shared" si="114"/>
        <v>8.9675133152057343E-2</v>
      </c>
      <c r="AC35" s="33">
        <f t="shared" si="114"/>
        <v>0.12905911449107832</v>
      </c>
      <c r="AD35" s="33">
        <f t="shared" si="114"/>
        <v>0.13051155586391033</v>
      </c>
      <c r="AE35" s="33">
        <f t="shared" si="114"/>
        <v>0.16371282117944064</v>
      </c>
      <c r="AF35" s="34">
        <f t="shared" si="114"/>
        <v>8.1012415292983406E-2</v>
      </c>
      <c r="AH35" s="33" t="s">
        <v>7</v>
      </c>
      <c r="AI35" s="33">
        <f t="shared" ref="AI35" si="115">AI34/AI7</f>
        <v>-6.9285594337775466E-2</v>
      </c>
      <c r="AJ35" s="33">
        <f t="shared" ref="AJ35" si="116">AJ34/AJ7</f>
        <v>-2.9366266694616346E-2</v>
      </c>
      <c r="AK35" s="33">
        <f t="shared" ref="AK35" si="117">AK34/AK7</f>
        <v>2.9507617794115635E-4</v>
      </c>
      <c r="AL35" s="33">
        <f t="shared" ref="AL35" si="118">AL34/AL7</f>
        <v>-4.681719739658835E-2</v>
      </c>
      <c r="AM35" s="33">
        <f t="shared" ref="AM35" si="119">AM34/AM7</f>
        <v>1.9367005136862094E-2</v>
      </c>
      <c r="AN35" s="33">
        <f t="shared" ref="AN35" si="120">AN34/AN7</f>
        <v>7.7968393231949998E-2</v>
      </c>
      <c r="AO35" s="33">
        <f t="shared" ref="AO35" si="121">AO34/AO7</f>
        <v>3.3504423181486706E-2</v>
      </c>
      <c r="AP35" s="33">
        <f t="shared" ref="AP35" si="122">AP34/AP7</f>
        <v>7.0677899621350376E-2</v>
      </c>
      <c r="AQ35" s="33">
        <f t="shared" ref="AQ35" si="123">AQ34/AQ7</f>
        <v>9.4624835889144651E-2</v>
      </c>
      <c r="AR35" s="33">
        <f t="shared" ref="AR35" si="124">AR34/AR7</f>
        <v>0.13513452072610657</v>
      </c>
      <c r="AS35" s="33">
        <f t="shared" ref="AS35" si="125">AS34/AS7</f>
        <v>0.13030489510142867</v>
      </c>
      <c r="AT35" s="33">
        <f t="shared" ref="AT35" si="126">AT34/AT7</f>
        <v>0.16473640253739216</v>
      </c>
      <c r="AU35" s="34">
        <f t="shared" ref="AU35" si="127">AU34/AU7</f>
        <v>8.7531793767063645E-2</v>
      </c>
    </row>
    <row r="36" spans="1:51" x14ac:dyDescent="0.2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4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4"/>
    </row>
    <row r="37" spans="1:51" x14ac:dyDescent="0.2">
      <c r="C37" s="23" t="s">
        <v>17</v>
      </c>
      <c r="D37" s="23">
        <f>D109</f>
        <v>694.44444444444446</v>
      </c>
      <c r="E37" s="23">
        <f>E109</f>
        <v>694.44444444444446</v>
      </c>
      <c r="F37" s="23">
        <f t="shared" ref="F37:P37" si="128">F109</f>
        <v>694.44444444444446</v>
      </c>
      <c r="G37" s="23">
        <f t="shared" si="128"/>
        <v>694.44444444444446</v>
      </c>
      <c r="H37" s="23">
        <f t="shared" si="128"/>
        <v>694.44444444444446</v>
      </c>
      <c r="I37" s="23">
        <f t="shared" si="128"/>
        <v>694.44444444444446</v>
      </c>
      <c r="J37" s="23">
        <f t="shared" si="128"/>
        <v>694.44444444444446</v>
      </c>
      <c r="K37" s="23">
        <f t="shared" si="128"/>
        <v>694.44444444444446</v>
      </c>
      <c r="L37" s="23">
        <f t="shared" si="128"/>
        <v>694.44444444444446</v>
      </c>
      <c r="M37" s="23">
        <f t="shared" si="128"/>
        <v>694.44444444444446</v>
      </c>
      <c r="N37" s="23">
        <f t="shared" si="128"/>
        <v>694.44444444444446</v>
      </c>
      <c r="O37" s="23">
        <f t="shared" si="128"/>
        <v>694.44444444444446</v>
      </c>
      <c r="P37" s="23">
        <f t="shared" si="128"/>
        <v>694.44444444444446</v>
      </c>
      <c r="Q37" s="24">
        <f>SUM(E37:P37)</f>
        <v>8333.3333333333339</v>
      </c>
      <c r="S37" s="23" t="s">
        <v>17</v>
      </c>
      <c r="T37" s="23">
        <f>T109</f>
        <v>694.44444444444446</v>
      </c>
      <c r="U37" s="23">
        <f t="shared" ref="U37:AE37" si="129">U109</f>
        <v>694.44444444444446</v>
      </c>
      <c r="V37" s="23">
        <f t="shared" si="129"/>
        <v>694.44444444444446</v>
      </c>
      <c r="W37" s="23">
        <f t="shared" si="129"/>
        <v>694.44444444444446</v>
      </c>
      <c r="X37" s="23">
        <f t="shared" si="129"/>
        <v>694.44444444444446</v>
      </c>
      <c r="Y37" s="23">
        <f t="shared" si="129"/>
        <v>694.44444444444446</v>
      </c>
      <c r="Z37" s="23">
        <f t="shared" si="129"/>
        <v>694.44444444444446</v>
      </c>
      <c r="AA37" s="23">
        <f t="shared" si="129"/>
        <v>694.44444444444446</v>
      </c>
      <c r="AB37" s="23">
        <f t="shared" si="129"/>
        <v>694.44444444444446</v>
      </c>
      <c r="AC37" s="23">
        <f t="shared" si="129"/>
        <v>694.44444444444446</v>
      </c>
      <c r="AD37" s="23">
        <f t="shared" si="129"/>
        <v>694.44444444444446</v>
      </c>
      <c r="AE37" s="23">
        <f t="shared" si="129"/>
        <v>694.44444444444446</v>
      </c>
      <c r="AF37" s="24">
        <f>SUM(T37:AE37)</f>
        <v>8333.3333333333339</v>
      </c>
      <c r="AH37" s="23" t="s">
        <v>17</v>
      </c>
      <c r="AI37" s="23">
        <f>AI109</f>
        <v>694</v>
      </c>
      <c r="AJ37" s="23">
        <f t="shared" ref="AJ37:AT37" si="130">AJ109</f>
        <v>694</v>
      </c>
      <c r="AK37" s="23">
        <f t="shared" si="130"/>
        <v>694</v>
      </c>
      <c r="AL37" s="23">
        <f t="shared" si="130"/>
        <v>694</v>
      </c>
      <c r="AM37" s="23">
        <f t="shared" si="130"/>
        <v>694</v>
      </c>
      <c r="AN37" s="23">
        <f t="shared" si="130"/>
        <v>694</v>
      </c>
      <c r="AO37" s="23">
        <f t="shared" si="130"/>
        <v>694</v>
      </c>
      <c r="AP37" s="23">
        <f t="shared" si="130"/>
        <v>694</v>
      </c>
      <c r="AQ37" s="23">
        <f t="shared" si="130"/>
        <v>694</v>
      </c>
      <c r="AR37" s="23">
        <f t="shared" si="130"/>
        <v>694</v>
      </c>
      <c r="AS37" s="23">
        <f t="shared" si="130"/>
        <v>694</v>
      </c>
      <c r="AT37" s="23">
        <f t="shared" si="130"/>
        <v>0</v>
      </c>
      <c r="AU37" s="24">
        <f>SUM(AI37:AT37)</f>
        <v>7634</v>
      </c>
      <c r="AX37" s="25">
        <f>+AF37/Q37-1</f>
        <v>0</v>
      </c>
      <c r="AY37" s="25">
        <f>+AU37/AF37-1</f>
        <v>-8.3920000000000106E-2</v>
      </c>
    </row>
    <row r="38" spans="1:51" s="40" customFormat="1" x14ac:dyDescent="0.2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9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9"/>
      <c r="AX38" s="49"/>
      <c r="AY38" s="49"/>
    </row>
    <row r="39" spans="1:51" ht="15.75" x14ac:dyDescent="0.25">
      <c r="C39" s="22" t="s">
        <v>18</v>
      </c>
      <c r="D39" s="22">
        <f t="shared" ref="D39" si="131">D34-D37</f>
        <v>-40249.652777777774</v>
      </c>
      <c r="E39" s="22">
        <f t="shared" ref="E39:Q39" si="132">E34-E37</f>
        <v>-40710.848518684841</v>
      </c>
      <c r="F39" s="22">
        <f t="shared" si="132"/>
        <v>-22924.099047885204</v>
      </c>
      <c r="G39" s="22">
        <f t="shared" si="132"/>
        <v>-3363.4812732336422</v>
      </c>
      <c r="H39" s="22">
        <f t="shared" si="132"/>
        <v>-26968.067870573243</v>
      </c>
      <c r="I39" s="22">
        <f t="shared" si="132"/>
        <v>4684.1611950755041</v>
      </c>
      <c r="J39" s="22">
        <f t="shared" si="132"/>
        <v>69742.023984715372</v>
      </c>
      <c r="K39" s="22">
        <f t="shared" si="132"/>
        <v>16791.589520576075</v>
      </c>
      <c r="L39" s="22">
        <f t="shared" si="132"/>
        <v>60197.53241367919</v>
      </c>
      <c r="M39" s="22">
        <f t="shared" si="132"/>
        <v>105318.45588802735</v>
      </c>
      <c r="N39" s="22">
        <f t="shared" si="132"/>
        <v>211300.10103617265</v>
      </c>
      <c r="O39" s="22">
        <f t="shared" si="132"/>
        <v>221384.56106453371</v>
      </c>
      <c r="P39" s="22">
        <f t="shared" si="132"/>
        <v>454273.54758675868</v>
      </c>
      <c r="Q39" s="44">
        <f t="shared" si="132"/>
        <v>1049725.4759791617</v>
      </c>
      <c r="R39" s="6"/>
      <c r="S39" s="22" t="s">
        <v>18</v>
      </c>
      <c r="T39" s="22">
        <f>T34-T37</f>
        <v>-65717.386943957012</v>
      </c>
      <c r="U39" s="22">
        <f t="shared" ref="U39:AE39" si="133">U34-U37</f>
        <v>-39128.634316757503</v>
      </c>
      <c r="V39" s="22">
        <f t="shared" si="133"/>
        <v>-11545.565158068966</v>
      </c>
      <c r="W39" s="22">
        <f t="shared" si="133"/>
        <v>-48492.161669343543</v>
      </c>
      <c r="X39" s="22">
        <f t="shared" si="133"/>
        <v>5284.3555520352029</v>
      </c>
      <c r="Y39" s="22">
        <f t="shared" si="133"/>
        <v>104952.46033096296</v>
      </c>
      <c r="Z39" s="22">
        <f t="shared" si="133"/>
        <v>22596.18042503966</v>
      </c>
      <c r="AA39" s="22">
        <f t="shared" si="133"/>
        <v>88014.206819342275</v>
      </c>
      <c r="AB39" s="22">
        <f t="shared" si="133"/>
        <v>152927.50757601747</v>
      </c>
      <c r="AC39" s="22">
        <f t="shared" si="133"/>
        <v>343390.17532407196</v>
      </c>
      <c r="AD39" s="22">
        <f t="shared" si="133"/>
        <v>313834.25701770914</v>
      </c>
      <c r="AE39" s="22">
        <f t="shared" si="133"/>
        <v>698024.52478767151</v>
      </c>
      <c r="AF39" s="44">
        <f>AF34-AF37</f>
        <v>1564139.9197447232</v>
      </c>
      <c r="AG39" s="6"/>
      <c r="AH39" s="22" t="s">
        <v>18</v>
      </c>
      <c r="AI39" s="22">
        <f>AI34-AI37</f>
        <v>-81152.550603803524</v>
      </c>
      <c r="AJ39" s="22">
        <f t="shared" ref="AJ39:AT39" si="134">AJ34-AJ37</f>
        <v>-40330.136905356121</v>
      </c>
      <c r="AK39" s="22">
        <f t="shared" si="134"/>
        <v>-242.89660544837534</v>
      </c>
      <c r="AL39" s="22">
        <f t="shared" si="134"/>
        <v>-59234.669829570848</v>
      </c>
      <c r="AM39" s="22">
        <f t="shared" si="134"/>
        <v>32146.682818503308</v>
      </c>
      <c r="AN39" s="22">
        <f t="shared" si="134"/>
        <v>188466.14658652869</v>
      </c>
      <c r="AO39" s="22">
        <f t="shared" si="134"/>
        <v>60611.821166195397</v>
      </c>
      <c r="AP39" s="22">
        <f t="shared" si="134"/>
        <v>161775.97420774255</v>
      </c>
      <c r="AQ39" s="22">
        <f t="shared" si="134"/>
        <v>257977.8625144299</v>
      </c>
      <c r="AR39" s="22">
        <f t="shared" si="134"/>
        <v>594117.04288157145</v>
      </c>
      <c r="AS39" s="22">
        <f t="shared" si="134"/>
        <v>487832.5813352621</v>
      </c>
      <c r="AT39" s="22">
        <f t="shared" si="134"/>
        <v>1127376.7041128175</v>
      </c>
      <c r="AU39" s="44">
        <f>AU34-AU37</f>
        <v>2729344.5616788724</v>
      </c>
      <c r="AX39" s="25">
        <f>+AF39/Q39-1</f>
        <v>0.49004664127611708</v>
      </c>
      <c r="AY39" s="25">
        <f>+AU39/AF39-1</f>
        <v>0.74494911051456159</v>
      </c>
    </row>
    <row r="40" spans="1:51" ht="15.75" x14ac:dyDescent="0.25">
      <c r="B40" s="35"/>
      <c r="C40" s="50" t="s">
        <v>7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>
        <f>Q39/Q7</f>
        <v>8.5584325345299958E-2</v>
      </c>
      <c r="R40" s="45"/>
      <c r="S40" s="52" t="s">
        <v>7</v>
      </c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1">
        <f>AF39/AF7</f>
        <v>8.0583089414496517E-2</v>
      </c>
      <c r="AG40" s="45"/>
      <c r="AH40" s="52" t="s">
        <v>7</v>
      </c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1">
        <f>AU39/AU7</f>
        <v>8.7287649467589157E-2</v>
      </c>
    </row>
    <row r="41" spans="1:51" x14ac:dyDescent="0.2">
      <c r="C41" s="23" t="s">
        <v>49</v>
      </c>
      <c r="D41" s="23"/>
      <c r="E41" s="23">
        <f>E28*$Q$58</f>
        <v>3881.291582609656</v>
      </c>
      <c r="F41" s="23">
        <f t="shared" ref="F41:P41" si="135">F28*$Q$58</f>
        <v>10106.653897389529</v>
      </c>
      <c r="G41" s="23">
        <f t="shared" si="135"/>
        <v>16952.870118517574</v>
      </c>
      <c r="H41" s="23">
        <f t="shared" si="135"/>
        <v>8691.2648094487158</v>
      </c>
      <c r="I41" s="23">
        <f t="shared" si="135"/>
        <v>19769.544982425774</v>
      </c>
      <c r="J41" s="23">
        <f t="shared" si="135"/>
        <v>42539.796958799721</v>
      </c>
      <c r="K41" s="23">
        <f t="shared" si="135"/>
        <v>24007.144896350976</v>
      </c>
      <c r="L41" s="23">
        <f t="shared" si="135"/>
        <v>39199.224908937067</v>
      </c>
      <c r="M41" s="23">
        <f t="shared" si="135"/>
        <v>54991.548124958914</v>
      </c>
      <c r="N41" s="23">
        <f t="shared" si="135"/>
        <v>92085.123926809771</v>
      </c>
      <c r="O41" s="23">
        <f t="shared" si="135"/>
        <v>95614.684936736143</v>
      </c>
      <c r="P41" s="23">
        <f t="shared" si="135"/>
        <v>177125.83021951487</v>
      </c>
      <c r="Q41" s="24">
        <f>SUM(E41:P41)</f>
        <v>584964.97936249874</v>
      </c>
      <c r="S41" s="23" t="s">
        <v>49</v>
      </c>
      <c r="T41" s="23">
        <f>T28*$Q$58</f>
        <v>5548.6210557156701</v>
      </c>
      <c r="U41" s="23">
        <f t="shared" ref="U41:AE41" si="136">U28*$Q$58</f>
        <v>14854.684475235501</v>
      </c>
      <c r="V41" s="23">
        <f t="shared" si="136"/>
        <v>24508.758680776489</v>
      </c>
      <c r="W41" s="23">
        <f t="shared" si="136"/>
        <v>11577.449901830387</v>
      </c>
      <c r="X41" s="23">
        <f t="shared" si="136"/>
        <v>30399.230929312947</v>
      </c>
      <c r="Y41" s="23">
        <f t="shared" si="136"/>
        <v>65283.067601937655</v>
      </c>
      <c r="Z41" s="23">
        <f t="shared" si="136"/>
        <v>36458.369634864503</v>
      </c>
      <c r="AA41" s="23">
        <f t="shared" si="136"/>
        <v>59354.67887287042</v>
      </c>
      <c r="AB41" s="23">
        <f t="shared" si="136"/>
        <v>82074.334137706726</v>
      </c>
      <c r="AC41" s="23">
        <f t="shared" si="136"/>
        <v>148736.26784952579</v>
      </c>
      <c r="AD41" s="23">
        <f t="shared" si="136"/>
        <v>138391.69644229882</v>
      </c>
      <c r="AE41" s="23">
        <f t="shared" si="136"/>
        <v>272858.29016178567</v>
      </c>
      <c r="AF41" s="24">
        <f>SUM(T41:AE41)</f>
        <v>890045.44974386063</v>
      </c>
      <c r="AH41" s="23" t="s">
        <v>49</v>
      </c>
      <c r="AI41" s="23">
        <f>AI28*$Q$58</f>
        <v>17439.247649718149</v>
      </c>
      <c r="AJ41" s="23">
        <f t="shared" ref="AJ41:AT41" si="137">AJ28*$Q$58</f>
        <v>31727.092444174741</v>
      </c>
      <c r="AK41" s="23">
        <f t="shared" si="137"/>
        <v>45757.626549142449</v>
      </c>
      <c r="AL41" s="23">
        <f t="shared" si="137"/>
        <v>25110.505920699587</v>
      </c>
      <c r="AM41" s="23">
        <f t="shared" si="137"/>
        <v>57093.979347525543</v>
      </c>
      <c r="AN41" s="23">
        <f t="shared" si="137"/>
        <v>111805.79166633442</v>
      </c>
      <c r="AO41" s="23">
        <f t="shared" si="137"/>
        <v>67056.777769217777</v>
      </c>
      <c r="AP41" s="23">
        <f t="shared" si="137"/>
        <v>102464.23133375928</v>
      </c>
      <c r="AQ41" s="23">
        <f t="shared" si="137"/>
        <v>136134.89224109985</v>
      </c>
      <c r="AR41" s="23">
        <f t="shared" si="137"/>
        <v>253783.60536959936</v>
      </c>
      <c r="AS41" s="23">
        <f t="shared" si="137"/>
        <v>216584.04382839112</v>
      </c>
      <c r="AT41" s="23">
        <f t="shared" si="137"/>
        <v>440181.5868005355</v>
      </c>
      <c r="AU41" s="24">
        <f>SUM(AI41:AT41)</f>
        <v>1505139.3809201976</v>
      </c>
    </row>
    <row r="42" spans="1:51" x14ac:dyDescent="0.2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4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4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4"/>
    </row>
    <row r="43" spans="1:51" x14ac:dyDescent="0.2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4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4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4"/>
    </row>
    <row r="44" spans="1:51" x14ac:dyDescent="0.2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4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4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4"/>
    </row>
    <row r="45" spans="1:51" x14ac:dyDescent="0.2">
      <c r="Q45" s="53"/>
      <c r="AF45" s="53"/>
      <c r="AU45" s="53"/>
    </row>
    <row r="46" spans="1:51" x14ac:dyDescent="0.2">
      <c r="C46" s="54" t="s">
        <v>50</v>
      </c>
      <c r="D46" s="54">
        <f>D117</f>
        <v>-67180.208333333328</v>
      </c>
      <c r="E46" s="54">
        <f>E117</f>
        <v>-40016.404074240359</v>
      </c>
      <c r="F46" s="54">
        <f t="shared" ref="F46:P46" si="138">F117</f>
        <v>-22229.654603440766</v>
      </c>
      <c r="G46" s="54">
        <f t="shared" si="138"/>
        <v>-2669.0368287893361</v>
      </c>
      <c r="H46" s="54">
        <f t="shared" si="138"/>
        <v>-26273.623426128877</v>
      </c>
      <c r="I46" s="54">
        <f t="shared" si="138"/>
        <v>5378.6056395200285</v>
      </c>
      <c r="J46" s="54">
        <f t="shared" si="138"/>
        <v>70436.46842915981</v>
      </c>
      <c r="K46" s="54">
        <f t="shared" si="138"/>
        <v>17486.03396502047</v>
      </c>
      <c r="L46" s="54">
        <f t="shared" si="138"/>
        <v>60891.976858123438</v>
      </c>
      <c r="M46" s="54">
        <f t="shared" si="138"/>
        <v>106012.90033247171</v>
      </c>
      <c r="N46" s="54">
        <f t="shared" si="138"/>
        <v>211994.54548061723</v>
      </c>
      <c r="O46" s="54">
        <f t="shared" si="138"/>
        <v>222079.00550897795</v>
      </c>
      <c r="P46" s="54">
        <f t="shared" si="138"/>
        <v>454967.99203120254</v>
      </c>
      <c r="Q46" s="24">
        <f>Q117</f>
        <v>990878.60097916052</v>
      </c>
      <c r="R46" s="15"/>
      <c r="S46" s="54" t="s">
        <v>50</v>
      </c>
      <c r="T46" s="54">
        <f>T117</f>
        <v>-65022.942499512632</v>
      </c>
      <c r="U46" s="54">
        <f t="shared" ref="U46:AF46" si="139">U117</f>
        <v>-38434.189872313</v>
      </c>
      <c r="V46" s="54">
        <f t="shared" si="139"/>
        <v>-10851.120713624405</v>
      </c>
      <c r="W46" s="54">
        <f t="shared" si="139"/>
        <v>-47797.717224899039</v>
      </c>
      <c r="X46" s="54">
        <f t="shared" si="139"/>
        <v>5978.7999964794726</v>
      </c>
      <c r="Y46" s="54">
        <f t="shared" si="139"/>
        <v>105646.9047754074</v>
      </c>
      <c r="Z46" s="54">
        <f t="shared" si="139"/>
        <v>23290.624869483756</v>
      </c>
      <c r="AA46" s="54">
        <f t="shared" si="139"/>
        <v>88708.651263786625</v>
      </c>
      <c r="AB46" s="54">
        <f t="shared" si="139"/>
        <v>153621.95202046173</v>
      </c>
      <c r="AC46" s="54">
        <f t="shared" si="139"/>
        <v>344084.61976851599</v>
      </c>
      <c r="AD46" s="54">
        <f t="shared" si="139"/>
        <v>314528.70146215381</v>
      </c>
      <c r="AE46" s="54">
        <f t="shared" si="139"/>
        <v>698718.96923211613</v>
      </c>
      <c r="AF46" s="24">
        <f t="shared" si="139"/>
        <v>1572473.2530780558</v>
      </c>
      <c r="AG46" s="15"/>
      <c r="AH46" s="54" t="s">
        <v>50</v>
      </c>
      <c r="AI46" s="54">
        <f>AI117</f>
        <v>-80458.550603803742</v>
      </c>
      <c r="AJ46" s="54">
        <f t="shared" ref="AJ46:AU46" si="140">AJ117</f>
        <v>-39636.13690535631</v>
      </c>
      <c r="AK46" s="54">
        <f t="shared" si="140"/>
        <v>451.1033945515519</v>
      </c>
      <c r="AL46" s="54">
        <f t="shared" si="140"/>
        <v>-58540.669829571038</v>
      </c>
      <c r="AM46" s="54">
        <f t="shared" si="140"/>
        <v>32840.682818503235</v>
      </c>
      <c r="AN46" s="54">
        <f t="shared" si="140"/>
        <v>189160.1465865288</v>
      </c>
      <c r="AO46" s="54">
        <f t="shared" si="140"/>
        <v>61305.821166195732</v>
      </c>
      <c r="AP46" s="54">
        <f t="shared" si="140"/>
        <v>162469.97420774295</v>
      </c>
      <c r="AQ46" s="54">
        <f t="shared" si="140"/>
        <v>258671.86251443031</v>
      </c>
      <c r="AR46" s="54">
        <f t="shared" si="140"/>
        <v>594811.04288157099</v>
      </c>
      <c r="AS46" s="54">
        <f t="shared" si="140"/>
        <v>488526.58133526228</v>
      </c>
      <c r="AT46" s="54">
        <f t="shared" si="140"/>
        <v>1127376.7041128166</v>
      </c>
      <c r="AU46" s="24">
        <f t="shared" si="140"/>
        <v>2736978.5616788715</v>
      </c>
    </row>
    <row r="47" spans="1:51" x14ac:dyDescent="0.2">
      <c r="C47" s="54" t="s">
        <v>51</v>
      </c>
      <c r="D47" s="54">
        <f>D46/(1+$Q$56)^D5</f>
        <v>-67180.208333333328</v>
      </c>
      <c r="E47" s="54">
        <f>E46/(1+$Q$56)^E5</f>
        <v>-39017.753357791145</v>
      </c>
      <c r="F47" s="54">
        <f t="shared" ref="F47:P47" si="141">F46/(1+$Q$56)^F5</f>
        <v>-21133.971307104785</v>
      </c>
      <c r="G47" s="54">
        <f t="shared" si="141"/>
        <v>-2474.1564852896527</v>
      </c>
      <c r="H47" s="54">
        <f t="shared" si="141"/>
        <v>-23747.438313670871</v>
      </c>
      <c r="I47" s="54">
        <f t="shared" si="141"/>
        <v>4740.1348777933463</v>
      </c>
      <c r="J47" s="54">
        <f t="shared" si="141"/>
        <v>60526.110849011005</v>
      </c>
      <c r="K47" s="54">
        <f t="shared" si="141"/>
        <v>14650.778849445564</v>
      </c>
      <c r="L47" s="54">
        <f t="shared" si="141"/>
        <v>49745.484853222617</v>
      </c>
      <c r="M47" s="54">
        <f t="shared" si="141"/>
        <v>84445.499718017338</v>
      </c>
      <c r="N47" s="54">
        <f t="shared" si="141"/>
        <v>164651.87474452812</v>
      </c>
      <c r="O47" s="54">
        <f t="shared" si="141"/>
        <v>168179.74761289073</v>
      </c>
      <c r="P47" s="54">
        <f t="shared" si="141"/>
        <v>335947.36258542992</v>
      </c>
      <c r="Q47" s="24">
        <f>SUM(C47:P47)</f>
        <v>729333.46629314881</v>
      </c>
      <c r="R47" s="15"/>
      <c r="S47" s="54" t="s">
        <v>51</v>
      </c>
      <c r="T47" s="54">
        <f>T46/(1+$Q$56)^T5</f>
        <v>-46814.588457621845</v>
      </c>
      <c r="U47" s="54">
        <f t="shared" ref="U47:AE47" si="142">U46/(1+$Q$56)^U5</f>
        <v>-26980.905552136752</v>
      </c>
      <c r="V47" s="54">
        <f t="shared" si="142"/>
        <v>-7427.413189070211</v>
      </c>
      <c r="W47" s="54">
        <f t="shared" si="142"/>
        <v>-31900.268950049827</v>
      </c>
      <c r="X47" s="54">
        <f t="shared" si="142"/>
        <v>3890.6791167269134</v>
      </c>
      <c r="Y47" s="54">
        <f t="shared" si="142"/>
        <v>67033.572488257138</v>
      </c>
      <c r="Z47" s="54">
        <f t="shared" si="142"/>
        <v>14409.235102411818</v>
      </c>
      <c r="AA47" s="54">
        <f t="shared" si="142"/>
        <v>53511.849618918612</v>
      </c>
      <c r="AB47" s="54">
        <f t="shared" si="142"/>
        <v>90356.929592140601</v>
      </c>
      <c r="AC47" s="54">
        <f t="shared" si="142"/>
        <v>197332.05808175082</v>
      </c>
      <c r="AD47" s="54">
        <f t="shared" si="142"/>
        <v>175880.16570999098</v>
      </c>
      <c r="AE47" s="54">
        <f t="shared" si="142"/>
        <v>380963.45556205814</v>
      </c>
      <c r="AF47" s="24">
        <f>SUM(S47:AE47)</f>
        <v>870254.76912337635</v>
      </c>
      <c r="AG47" s="15"/>
      <c r="AH47" s="54" t="s">
        <v>51</v>
      </c>
      <c r="AI47" s="54">
        <f>AI46/(1+$Q$56)^AI5</f>
        <v>-42773.736296053998</v>
      </c>
      <c r="AJ47" s="54">
        <f t="shared" ref="AJ47:AT47" si="143">AJ46/(1+$Q$56)^AJ5</f>
        <v>-20545.679160695538</v>
      </c>
      <c r="AK47" s="54">
        <f t="shared" si="143"/>
        <v>227.99718061387432</v>
      </c>
      <c r="AL47" s="54">
        <f t="shared" si="143"/>
        <v>-28849.299217799628</v>
      </c>
      <c r="AM47" s="54">
        <f t="shared" si="143"/>
        <v>15780.252874090467</v>
      </c>
      <c r="AN47" s="54">
        <f t="shared" si="143"/>
        <v>88624.87206315418</v>
      </c>
      <c r="AO47" s="54">
        <f t="shared" si="143"/>
        <v>28006.052117731062</v>
      </c>
      <c r="AP47" s="54">
        <f t="shared" si="143"/>
        <v>72368.153154470216</v>
      </c>
      <c r="AQ47" s="54">
        <f t="shared" si="143"/>
        <v>112343.4527861962</v>
      </c>
      <c r="AR47" s="54">
        <f t="shared" si="143"/>
        <v>251884.70639005257</v>
      </c>
      <c r="AS47" s="54">
        <f t="shared" si="143"/>
        <v>201713.59757310603</v>
      </c>
      <c r="AT47" s="54">
        <f t="shared" si="143"/>
        <v>453879.14871154702</v>
      </c>
      <c r="AU47" s="24">
        <f>SUM(AH47:AT47)</f>
        <v>1132659.5181764124</v>
      </c>
    </row>
    <row r="48" spans="1:51" x14ac:dyDescent="0.2">
      <c r="A48" s="1" t="s">
        <v>83</v>
      </c>
      <c r="C48" s="54" t="s">
        <v>52</v>
      </c>
      <c r="D48" s="55">
        <f>D46</f>
        <v>-67180.208333333328</v>
      </c>
      <c r="E48" s="54">
        <f t="shared" ref="E48:G49" si="144">D48+E46</f>
        <v>-107196.61240757369</v>
      </c>
      <c r="F48" s="54">
        <f t="shared" si="144"/>
        <v>-129426.26701101445</v>
      </c>
      <c r="G48" s="54">
        <f t="shared" si="144"/>
        <v>-132095.30383980379</v>
      </c>
      <c r="H48" s="54">
        <f t="shared" ref="H48:P48" si="145">G48+H46</f>
        <v>-158368.92726593267</v>
      </c>
      <c r="I48" s="54">
        <f t="shared" si="145"/>
        <v>-152990.32162641262</v>
      </c>
      <c r="J48" s="54">
        <f t="shared" si="145"/>
        <v>-82553.853197252814</v>
      </c>
      <c r="K48" s="54">
        <f t="shared" si="145"/>
        <v>-65067.819232232345</v>
      </c>
      <c r="L48" s="54">
        <f t="shared" si="145"/>
        <v>-4175.8423741089064</v>
      </c>
      <c r="M48" s="54">
        <f t="shared" si="145"/>
        <v>101837.0579583628</v>
      </c>
      <c r="N48" s="54">
        <f t="shared" si="145"/>
        <v>313831.60343898006</v>
      </c>
      <c r="O48" s="54">
        <f t="shared" si="145"/>
        <v>535910.60894795798</v>
      </c>
      <c r="P48" s="54">
        <f t="shared" si="145"/>
        <v>990878.60097916052</v>
      </c>
      <c r="Q48" s="24"/>
      <c r="R48" s="15"/>
      <c r="S48" s="54" t="s">
        <v>52</v>
      </c>
      <c r="T48" s="54">
        <f>P48+T46</f>
        <v>925855.65847964794</v>
      </c>
      <c r="U48" s="54">
        <f>T48+U46</f>
        <v>887421.46860733489</v>
      </c>
      <c r="V48" s="54">
        <f>U48+V46</f>
        <v>876570.34789371048</v>
      </c>
      <c r="W48" s="54">
        <f t="shared" ref="W48:AE48" si="146">V48+W46</f>
        <v>828772.6306688115</v>
      </c>
      <c r="X48" s="54">
        <f t="shared" si="146"/>
        <v>834751.43066529091</v>
      </c>
      <c r="Y48" s="54">
        <f t="shared" si="146"/>
        <v>940398.33544069831</v>
      </c>
      <c r="Z48" s="54">
        <f t="shared" si="146"/>
        <v>963688.96031018207</v>
      </c>
      <c r="AA48" s="54">
        <f t="shared" si="146"/>
        <v>1052397.6115739688</v>
      </c>
      <c r="AB48" s="54">
        <f t="shared" si="146"/>
        <v>1206019.5635944305</v>
      </c>
      <c r="AC48" s="54">
        <f t="shared" si="146"/>
        <v>1550104.1833629464</v>
      </c>
      <c r="AD48" s="54">
        <f t="shared" si="146"/>
        <v>1864632.8848251002</v>
      </c>
      <c r="AE48" s="54">
        <f t="shared" si="146"/>
        <v>2563351.8540572161</v>
      </c>
      <c r="AF48" s="24"/>
      <c r="AG48" s="15"/>
      <c r="AH48" s="54" t="s">
        <v>52</v>
      </c>
      <c r="AI48" s="54">
        <f>AE48+AI46</f>
        <v>2482893.3034534124</v>
      </c>
      <c r="AJ48" s="54">
        <f>AI48+AJ46</f>
        <v>2443257.1665480561</v>
      </c>
      <c r="AK48" s="54">
        <f>AJ48+AK46</f>
        <v>2443708.2699426077</v>
      </c>
      <c r="AL48" s="54">
        <f t="shared" ref="AL48:AL49" si="147">AK48+AL46</f>
        <v>2385167.6001130366</v>
      </c>
      <c r="AM48" s="54">
        <f t="shared" ref="AM48:AM49" si="148">AL48+AM46</f>
        <v>2418008.2829315397</v>
      </c>
      <c r="AN48" s="54">
        <f t="shared" ref="AN48:AN49" si="149">AM48+AN46</f>
        <v>2607168.4295180687</v>
      </c>
      <c r="AO48" s="54">
        <f t="shared" ref="AO48:AO49" si="150">AN48+AO46</f>
        <v>2668474.2506842646</v>
      </c>
      <c r="AP48" s="54">
        <f t="shared" ref="AP48:AP49" si="151">AO48+AP46</f>
        <v>2830944.2248920077</v>
      </c>
      <c r="AQ48" s="54">
        <f t="shared" ref="AQ48:AQ49" si="152">AP48+AQ46</f>
        <v>3089616.0874064378</v>
      </c>
      <c r="AR48" s="54">
        <f t="shared" ref="AR48:AR49" si="153">AQ48+AR46</f>
        <v>3684427.1302880086</v>
      </c>
      <c r="AS48" s="54">
        <f t="shared" ref="AS48:AS49" si="154">AR48+AS46</f>
        <v>4172953.711623271</v>
      </c>
      <c r="AT48" s="54">
        <f t="shared" ref="AT48:AT49" si="155">AS48+AT46</f>
        <v>5300330.4157360876</v>
      </c>
      <c r="AU48" s="24"/>
    </row>
    <row r="49" spans="1:51" x14ac:dyDescent="0.2">
      <c r="C49" s="23" t="s">
        <v>53</v>
      </c>
      <c r="D49" s="38">
        <f>+D47</f>
        <v>-67180.208333333328</v>
      </c>
      <c r="E49" s="23">
        <f t="shared" si="144"/>
        <v>-106197.96169112448</v>
      </c>
      <c r="F49" s="23">
        <f t="shared" si="144"/>
        <v>-127331.93299822927</v>
      </c>
      <c r="G49" s="23">
        <f t="shared" si="144"/>
        <v>-129806.08948351892</v>
      </c>
      <c r="H49" s="23">
        <f t="shared" ref="H49" si="156">+G49+H47</f>
        <v>-153553.5277971898</v>
      </c>
      <c r="I49" s="23">
        <f t="shared" ref="I49" si="157">+H49+I47</f>
        <v>-148813.39291939646</v>
      </c>
      <c r="J49" s="23">
        <f t="shared" ref="J49" si="158">+I49+J47</f>
        <v>-88287.282070385452</v>
      </c>
      <c r="K49" s="23">
        <f t="shared" ref="K49" si="159">+J49+K47</f>
        <v>-73636.503220939892</v>
      </c>
      <c r="L49" s="23">
        <f t="shared" ref="L49" si="160">+K49+L47</f>
        <v>-23891.018367717275</v>
      </c>
      <c r="M49" s="23">
        <f t="shared" ref="M49" si="161">+L49+M47</f>
        <v>60554.481350300062</v>
      </c>
      <c r="N49" s="23">
        <f t="shared" ref="N49" si="162">+M49+N47</f>
        <v>225206.35609482817</v>
      </c>
      <c r="O49" s="23">
        <f t="shared" ref="O49" si="163">+N49+O47</f>
        <v>393386.1037077189</v>
      </c>
      <c r="P49" s="23">
        <f t="shared" ref="P49" si="164">+O49+P47</f>
        <v>729333.46629314881</v>
      </c>
      <c r="Q49" s="56"/>
      <c r="S49" s="23" t="s">
        <v>53</v>
      </c>
      <c r="T49" s="23">
        <f>P49+T47</f>
        <v>682518.87783552695</v>
      </c>
      <c r="U49" s="23">
        <f>T49+U47</f>
        <v>655537.97228339023</v>
      </c>
      <c r="V49" s="23">
        <f>U49+V47</f>
        <v>648110.55909432005</v>
      </c>
      <c r="W49" s="23">
        <f t="shared" ref="W49:AE49" si="165">V49+W47</f>
        <v>616210.29014427017</v>
      </c>
      <c r="X49" s="23">
        <f t="shared" si="165"/>
        <v>620100.96926099714</v>
      </c>
      <c r="Y49" s="23">
        <f t="shared" si="165"/>
        <v>687134.54174925433</v>
      </c>
      <c r="Z49" s="23">
        <f t="shared" si="165"/>
        <v>701543.77685166616</v>
      </c>
      <c r="AA49" s="23">
        <f t="shared" si="165"/>
        <v>755055.62647058477</v>
      </c>
      <c r="AB49" s="23">
        <f t="shared" si="165"/>
        <v>845412.55606272537</v>
      </c>
      <c r="AC49" s="23">
        <f t="shared" si="165"/>
        <v>1042744.6141444761</v>
      </c>
      <c r="AD49" s="23">
        <f t="shared" si="165"/>
        <v>1218624.7798544671</v>
      </c>
      <c r="AE49" s="23">
        <f t="shared" si="165"/>
        <v>1599588.2354165253</v>
      </c>
      <c r="AF49" s="56"/>
      <c r="AH49" s="23" t="s">
        <v>53</v>
      </c>
      <c r="AI49" s="23">
        <f>AE49+AI47</f>
        <v>1556814.4991204713</v>
      </c>
      <c r="AJ49" s="23">
        <f>AI49+AJ47</f>
        <v>1536268.8199597758</v>
      </c>
      <c r="AK49" s="23">
        <f>AJ49+AK47</f>
        <v>1536496.8171403897</v>
      </c>
      <c r="AL49" s="23">
        <f t="shared" si="147"/>
        <v>1507647.51792259</v>
      </c>
      <c r="AM49" s="23">
        <f t="shared" si="148"/>
        <v>1523427.7707966806</v>
      </c>
      <c r="AN49" s="23">
        <f t="shared" si="149"/>
        <v>1612052.6428598347</v>
      </c>
      <c r="AO49" s="23">
        <f t="shared" si="150"/>
        <v>1640058.6949775657</v>
      </c>
      <c r="AP49" s="23">
        <f t="shared" si="151"/>
        <v>1712426.8481320359</v>
      </c>
      <c r="AQ49" s="23">
        <f t="shared" si="152"/>
        <v>1824770.3009182322</v>
      </c>
      <c r="AR49" s="23">
        <f t="shared" si="153"/>
        <v>2076655.0073082848</v>
      </c>
      <c r="AS49" s="23">
        <f t="shared" si="154"/>
        <v>2278368.6048813909</v>
      </c>
      <c r="AT49" s="23">
        <f t="shared" si="155"/>
        <v>2732247.7535929382</v>
      </c>
      <c r="AU49" s="56"/>
    </row>
    <row r="50" spans="1:51" ht="15.75" hidden="1" x14ac:dyDescent="0.25">
      <c r="C50" s="57" t="s">
        <v>96</v>
      </c>
      <c r="D50" s="58">
        <f t="shared" ref="D50:P50" si="166">-PV($Q$56,D5,0,D46)</f>
        <v>-67180.208333333328</v>
      </c>
      <c r="E50" s="58">
        <f t="shared" si="166"/>
        <v>-39017.753357791145</v>
      </c>
      <c r="F50" s="58">
        <f t="shared" si="166"/>
        <v>-21133.971307104785</v>
      </c>
      <c r="G50" s="58">
        <f t="shared" si="166"/>
        <v>-2474.1564852896527</v>
      </c>
      <c r="H50" s="58">
        <f t="shared" si="166"/>
        <v>-23747.438313670871</v>
      </c>
      <c r="I50" s="58">
        <f t="shared" si="166"/>
        <v>4740.1348777933463</v>
      </c>
      <c r="J50" s="58">
        <f t="shared" si="166"/>
        <v>60526.110849011005</v>
      </c>
      <c r="K50" s="58">
        <f t="shared" si="166"/>
        <v>14650.778849445564</v>
      </c>
      <c r="L50" s="58">
        <f t="shared" si="166"/>
        <v>49745.484853222617</v>
      </c>
      <c r="M50" s="58">
        <f t="shared" si="166"/>
        <v>84445.499718017338</v>
      </c>
      <c r="N50" s="58">
        <f t="shared" si="166"/>
        <v>164651.87474452812</v>
      </c>
      <c r="O50" s="58">
        <f t="shared" si="166"/>
        <v>168179.74761289073</v>
      </c>
      <c r="P50" s="58">
        <f t="shared" si="166"/>
        <v>335947.36258542992</v>
      </c>
      <c r="Q50" s="58">
        <f>SUM(D50:P50)</f>
        <v>729333.46629314881</v>
      </c>
      <c r="S50" s="6" t="s">
        <v>96</v>
      </c>
      <c r="T50" s="59" t="e">
        <f>-PV(#REF!,T5,0,T46)</f>
        <v>#REF!</v>
      </c>
      <c r="U50" s="59" t="e">
        <f>-PV(#REF!,U5,0,U46)</f>
        <v>#REF!</v>
      </c>
      <c r="V50" s="59" t="e">
        <f>-PV(#REF!,V5,0,V46)</f>
        <v>#REF!</v>
      </c>
      <c r="W50" s="59" t="e">
        <f>-PV(#REF!,W5,0,W46)</f>
        <v>#REF!</v>
      </c>
      <c r="X50" s="59" t="e">
        <f>-PV(#REF!,X5,0,X46)</f>
        <v>#REF!</v>
      </c>
      <c r="Y50" s="59" t="e">
        <f>-PV(#REF!,Y5,0,Y46)</f>
        <v>#REF!</v>
      </c>
      <c r="Z50" s="59" t="e">
        <f>-PV(#REF!,Z5,0,Z46)</f>
        <v>#REF!</v>
      </c>
      <c r="AA50" s="59" t="e">
        <f>-PV(#REF!,AA5,0,AA46)</f>
        <v>#REF!</v>
      </c>
      <c r="AB50" s="59" t="e">
        <f>-PV(#REF!,AB5,0,AB46)</f>
        <v>#REF!</v>
      </c>
      <c r="AC50" s="59" t="e">
        <f>-PV(#REF!,AC5,0,AC46)</f>
        <v>#REF!</v>
      </c>
      <c r="AD50" s="59" t="e">
        <f>-PV(#REF!,AD5,0,AD46)</f>
        <v>#REF!</v>
      </c>
      <c r="AE50" s="59" t="e">
        <f>-PV(#REF!,AE5,0,AE46)</f>
        <v>#REF!</v>
      </c>
      <c r="AF50" s="59" t="e">
        <f>SUM(S50:AE50)</f>
        <v>#REF!</v>
      </c>
      <c r="AH50" s="6" t="s">
        <v>96</v>
      </c>
      <c r="AI50" s="59" t="e">
        <f>-PV(#REF!,AI5,0,AI46)</f>
        <v>#REF!</v>
      </c>
      <c r="AJ50" s="59" t="e">
        <f>-PV(#REF!,AJ5,0,AJ46)</f>
        <v>#REF!</v>
      </c>
      <c r="AK50" s="59" t="e">
        <f>-PV(#REF!,AK5,0,AK46)</f>
        <v>#REF!</v>
      </c>
      <c r="AL50" s="59" t="e">
        <f>-PV(#REF!,AL5,0,AL46)</f>
        <v>#REF!</v>
      </c>
      <c r="AM50" s="59" t="e">
        <f>-PV(#REF!,AM5,0,AM46)</f>
        <v>#REF!</v>
      </c>
      <c r="AN50" s="59" t="e">
        <f>-PV(#REF!,AN5,0,AN46)</f>
        <v>#REF!</v>
      </c>
      <c r="AO50" s="59" t="e">
        <f>-PV(#REF!,AO5,0,AO46)</f>
        <v>#REF!</v>
      </c>
      <c r="AP50" s="59" t="e">
        <f>-PV(#REF!,AP5,0,AP46)</f>
        <v>#REF!</v>
      </c>
      <c r="AQ50" s="59" t="e">
        <f>-PV(#REF!,AQ5,0,AQ46)</f>
        <v>#REF!</v>
      </c>
      <c r="AR50" s="59" t="e">
        <f>-PV(#REF!,AR5,0,AR46)</f>
        <v>#REF!</v>
      </c>
      <c r="AS50" s="59" t="e">
        <f>-PV(#REF!,AS5,0,AS46)</f>
        <v>#REF!</v>
      </c>
      <c r="AT50" s="59" t="e">
        <f>-PV(#REF!,AT5,0,AT46)</f>
        <v>#REF!</v>
      </c>
      <c r="AU50" s="59" t="e">
        <f>SUM(AH50:AT50)</f>
        <v>#REF!</v>
      </c>
    </row>
    <row r="51" spans="1:51" ht="15.75" hidden="1" x14ac:dyDescent="0.25">
      <c r="C51" s="57" t="s">
        <v>93</v>
      </c>
      <c r="D51" s="58">
        <f>NPV(Q56,E46:P46)+D46</f>
        <v>729333.46629314881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60"/>
      <c r="S51" s="7"/>
      <c r="T51" s="2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30"/>
      <c r="AH51" s="7"/>
      <c r="AI51" s="2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30"/>
    </row>
    <row r="52" spans="1:51" ht="15.75" x14ac:dyDescent="0.25"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4"/>
      <c r="S52" s="7"/>
      <c r="T52" s="2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30"/>
      <c r="AH52" s="7"/>
      <c r="AI52" s="2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30"/>
    </row>
    <row r="53" spans="1:51" ht="15.75" x14ac:dyDescent="0.25">
      <c r="C53" s="65" t="s">
        <v>19</v>
      </c>
      <c r="D53" s="66"/>
      <c r="E53" s="67"/>
      <c r="F53" s="67"/>
      <c r="G53" s="67"/>
      <c r="H53" s="67"/>
      <c r="I53" s="67"/>
      <c r="J53" s="68"/>
      <c r="K53" s="69"/>
      <c r="L53" s="69"/>
      <c r="M53" s="69"/>
      <c r="N53" s="69"/>
      <c r="O53" s="69"/>
      <c r="P53" s="69"/>
      <c r="Q53" s="70">
        <f>Q125</f>
        <v>0.2523740950887754</v>
      </c>
      <c r="R53" s="54"/>
      <c r="S53" s="71"/>
      <c r="T53" s="72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30"/>
      <c r="AH53" s="7"/>
      <c r="AI53" s="2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30"/>
    </row>
    <row r="54" spans="1:51" ht="15.75" x14ac:dyDescent="0.25">
      <c r="C54" s="73"/>
      <c r="D54" s="73"/>
      <c r="K54" s="74"/>
      <c r="L54" s="23"/>
      <c r="M54" s="23"/>
      <c r="N54" s="23"/>
      <c r="O54" s="23"/>
      <c r="P54" s="23"/>
      <c r="Q54" s="75"/>
      <c r="R54" s="54"/>
      <c r="S54" s="71"/>
      <c r="T54" s="72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30"/>
      <c r="AH54" s="71"/>
      <c r="AI54" s="72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30"/>
    </row>
    <row r="55" spans="1:51" ht="15.75" x14ac:dyDescent="0.25">
      <c r="C55" s="73"/>
      <c r="D55" s="73"/>
      <c r="K55" s="74"/>
      <c r="L55" s="23"/>
      <c r="M55" s="23"/>
      <c r="N55" s="23"/>
      <c r="O55" s="23"/>
      <c r="P55" s="23"/>
      <c r="Q55" s="54"/>
      <c r="R55" s="54"/>
      <c r="S55" s="76"/>
      <c r="T55" s="77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30"/>
      <c r="AH55" s="76"/>
      <c r="AI55" s="77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30"/>
    </row>
    <row r="56" spans="1:51" x14ac:dyDescent="0.2">
      <c r="C56" s="197" t="s">
        <v>47</v>
      </c>
      <c r="D56" s="78"/>
      <c r="E56" s="78"/>
      <c r="F56" s="78"/>
      <c r="G56" s="78"/>
      <c r="H56" s="78"/>
      <c r="I56" s="78"/>
      <c r="J56" s="78"/>
      <c r="K56" s="79"/>
      <c r="L56" s="80"/>
      <c r="M56" s="80"/>
      <c r="N56" s="80"/>
      <c r="O56" s="80"/>
      <c r="P56" s="80"/>
      <c r="Q56" s="81">
        <f>(POWER((1+Q57),(30/365)))-1</f>
        <v>2.5594777518111567E-2</v>
      </c>
      <c r="R56" s="23" t="s">
        <v>101</v>
      </c>
      <c r="S56" s="82"/>
      <c r="T56" s="82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30"/>
      <c r="AH56" s="82"/>
      <c r="AI56" s="82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30"/>
    </row>
    <row r="57" spans="1:51" x14ac:dyDescent="0.2">
      <c r="C57" s="198"/>
      <c r="D57" s="15"/>
      <c r="E57" s="15"/>
      <c r="F57" s="15"/>
      <c r="G57" s="15"/>
      <c r="H57" s="15"/>
      <c r="I57" s="15"/>
      <c r="J57" s="15"/>
      <c r="K57" s="83"/>
      <c r="L57" s="15"/>
      <c r="M57" s="15"/>
      <c r="N57" s="15"/>
      <c r="O57" s="15"/>
      <c r="P57" s="15"/>
      <c r="Q57" s="84">
        <v>0.36</v>
      </c>
      <c r="R57" s="23" t="s">
        <v>102</v>
      </c>
      <c r="S57" s="82"/>
      <c r="T57" s="85"/>
      <c r="U57" s="61"/>
      <c r="V57" s="2"/>
      <c r="W57" s="2"/>
      <c r="X57" s="2"/>
      <c r="Y57" s="2"/>
      <c r="Z57" s="2"/>
      <c r="AA57" s="2"/>
      <c r="AB57" s="2"/>
      <c r="AC57" s="2"/>
      <c r="AD57" s="2"/>
      <c r="AE57" s="2"/>
      <c r="AH57" s="82"/>
      <c r="AI57" s="85"/>
      <c r="AJ57" s="61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51" x14ac:dyDescent="0.2">
      <c r="C58" s="86" t="s">
        <v>48</v>
      </c>
      <c r="D58" s="15"/>
      <c r="E58" s="15"/>
      <c r="F58" s="15"/>
      <c r="G58" s="15"/>
      <c r="H58" s="15"/>
      <c r="I58" s="15"/>
      <c r="J58" s="15"/>
      <c r="K58" s="83"/>
      <c r="L58" s="15"/>
      <c r="M58" s="15"/>
      <c r="N58" s="15"/>
      <c r="O58" s="15"/>
      <c r="P58" s="15"/>
      <c r="Q58" s="87">
        <v>0.35</v>
      </c>
      <c r="R58" s="23"/>
      <c r="S58" s="82"/>
      <c r="T58" s="85"/>
      <c r="U58" s="61"/>
      <c r="V58" s="2"/>
      <c r="W58" s="2"/>
      <c r="X58" s="2"/>
      <c r="Y58" s="2"/>
      <c r="Z58" s="2"/>
      <c r="AA58" s="2"/>
      <c r="AB58" s="2"/>
      <c r="AC58" s="2"/>
      <c r="AD58" s="2"/>
      <c r="AE58" s="2"/>
      <c r="AH58" s="82"/>
      <c r="AI58" s="85"/>
      <c r="AJ58" s="61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51" x14ac:dyDescent="0.2">
      <c r="C59" s="88" t="s">
        <v>59</v>
      </c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90"/>
      <c r="Q59" s="91">
        <v>5.5E-2</v>
      </c>
      <c r="S59" s="82"/>
      <c r="T59" s="92"/>
      <c r="U59" s="61"/>
      <c r="V59" s="2"/>
      <c r="W59" s="2"/>
      <c r="X59" s="2"/>
      <c r="Y59" s="2"/>
      <c r="Z59" s="2"/>
      <c r="AA59" s="2"/>
      <c r="AB59" s="2"/>
      <c r="AC59" s="2"/>
      <c r="AD59" s="2"/>
      <c r="AE59" s="2"/>
      <c r="AH59" s="82"/>
      <c r="AI59" s="92"/>
      <c r="AJ59" s="61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51" x14ac:dyDescent="0.2">
      <c r="S60" s="82"/>
      <c r="T60" s="93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H60" s="82"/>
      <c r="AI60" s="93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51" x14ac:dyDescent="0.2">
      <c r="E61" s="43"/>
      <c r="S61" s="82"/>
      <c r="T61" s="93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H61" s="82"/>
      <c r="AI61" s="93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51" x14ac:dyDescent="0.2">
      <c r="D62" s="30"/>
      <c r="E62" s="94"/>
      <c r="F62" s="94"/>
      <c r="J62" s="30"/>
      <c r="K62" s="94"/>
      <c r="L62" s="94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51" x14ac:dyDescent="0.2">
      <c r="A63" s="30"/>
      <c r="C63" s="95" t="s">
        <v>46</v>
      </c>
      <c r="D63" s="96"/>
      <c r="E63" s="97">
        <v>1</v>
      </c>
      <c r="F63" s="97">
        <v>2</v>
      </c>
      <c r="G63" s="97">
        <v>3</v>
      </c>
      <c r="H63" s="97">
        <v>4</v>
      </c>
      <c r="I63" s="97">
        <v>5</v>
      </c>
      <c r="J63" s="97">
        <v>6</v>
      </c>
      <c r="K63" s="97">
        <v>7</v>
      </c>
      <c r="L63" s="97">
        <v>8</v>
      </c>
      <c r="M63" s="97">
        <v>9</v>
      </c>
      <c r="N63" s="97">
        <v>10</v>
      </c>
      <c r="O63" s="97">
        <v>11</v>
      </c>
      <c r="P63" s="97">
        <v>12</v>
      </c>
      <c r="Q63" s="98" t="s">
        <v>79</v>
      </c>
      <c r="S63" s="95"/>
      <c r="T63" s="97">
        <v>13</v>
      </c>
      <c r="U63" s="97">
        <v>14</v>
      </c>
      <c r="V63" s="97">
        <v>15</v>
      </c>
      <c r="W63" s="97">
        <v>16</v>
      </c>
      <c r="X63" s="97">
        <v>17</v>
      </c>
      <c r="Y63" s="97">
        <v>18</v>
      </c>
      <c r="Z63" s="97">
        <v>19</v>
      </c>
      <c r="AA63" s="97">
        <v>20</v>
      </c>
      <c r="AB63" s="97">
        <v>21</v>
      </c>
      <c r="AC63" s="97">
        <v>22</v>
      </c>
      <c r="AD63" s="97">
        <v>23</v>
      </c>
      <c r="AE63" s="97">
        <v>24</v>
      </c>
      <c r="AF63" s="98" t="s">
        <v>80</v>
      </c>
      <c r="AH63" s="95"/>
      <c r="AI63" s="97">
        <v>25</v>
      </c>
      <c r="AJ63" s="97">
        <v>26</v>
      </c>
      <c r="AK63" s="97">
        <v>27</v>
      </c>
      <c r="AL63" s="97">
        <v>28</v>
      </c>
      <c r="AM63" s="97">
        <v>29</v>
      </c>
      <c r="AN63" s="97">
        <v>30</v>
      </c>
      <c r="AO63" s="97">
        <v>31</v>
      </c>
      <c r="AP63" s="97">
        <v>32</v>
      </c>
      <c r="AQ63" s="97">
        <v>33</v>
      </c>
      <c r="AR63" s="97">
        <v>34</v>
      </c>
      <c r="AS63" s="97">
        <v>35</v>
      </c>
      <c r="AT63" s="97">
        <v>36</v>
      </c>
      <c r="AU63" s="98" t="s">
        <v>81</v>
      </c>
    </row>
    <row r="64" spans="1:51" x14ac:dyDescent="0.2">
      <c r="A64" s="30"/>
      <c r="C64" s="1" t="s">
        <v>134</v>
      </c>
      <c r="E64" s="30">
        <f t="shared" ref="E64:P64" si="167">E8/E68</f>
        <v>303.62838260869569</v>
      </c>
      <c r="F64" s="30">
        <f t="shared" si="167"/>
        <v>345.96720000000005</v>
      </c>
      <c r="G64" s="30">
        <f t="shared" si="167"/>
        <v>379.14888250089831</v>
      </c>
      <c r="H64" s="30">
        <f t="shared" si="167"/>
        <v>309.55288695652172</v>
      </c>
      <c r="I64" s="30">
        <f t="shared" si="167"/>
        <v>437.05275652173918</v>
      </c>
      <c r="J64" s="30">
        <f t="shared" si="167"/>
        <v>611.41359130434785</v>
      </c>
      <c r="K64" s="30">
        <f t="shared" si="167"/>
        <v>465.97672956521734</v>
      </c>
      <c r="L64" s="30">
        <f t="shared" si="167"/>
        <v>573.59382026086951</v>
      </c>
      <c r="M64" s="30">
        <f t="shared" si="167"/>
        <v>660.5228347826087</v>
      </c>
      <c r="N64" s="30">
        <f t="shared" si="167"/>
        <v>1171.404860869565</v>
      </c>
      <c r="O64" s="30">
        <f t="shared" si="167"/>
        <v>835.11579202672885</v>
      </c>
      <c r="P64" s="30">
        <f t="shared" si="167"/>
        <v>1677.7229634880189</v>
      </c>
      <c r="Q64" s="99">
        <f t="shared" ref="Q64:Q67" si="168">SUM(E64:P64)</f>
        <v>7771.1007008852102</v>
      </c>
      <c r="S64" s="1" t="s">
        <v>134</v>
      </c>
      <c r="T64" s="30">
        <f t="shared" ref="T64:AE64" si="169">T8/T68</f>
        <v>469.24386403162055</v>
      </c>
      <c r="U64" s="30">
        <f t="shared" si="169"/>
        <v>534.67658181818183</v>
      </c>
      <c r="V64" s="30">
        <f t="shared" si="169"/>
        <v>585.9573638650246</v>
      </c>
      <c r="W64" s="30">
        <f t="shared" si="169"/>
        <v>478.3999162055336</v>
      </c>
      <c r="X64" s="30">
        <f t="shared" si="169"/>
        <v>675.44516916996054</v>
      </c>
      <c r="Y64" s="30">
        <f t="shared" si="169"/>
        <v>944.91191383399212</v>
      </c>
      <c r="Z64" s="30">
        <f t="shared" si="169"/>
        <v>720.14585478260858</v>
      </c>
      <c r="AA64" s="30">
        <f t="shared" si="169"/>
        <v>886.46317676679848</v>
      </c>
      <c r="AB64" s="30">
        <f t="shared" si="169"/>
        <v>1020.8080173913044</v>
      </c>
      <c r="AC64" s="30">
        <f t="shared" si="169"/>
        <v>1810.3529667984187</v>
      </c>
      <c r="AD64" s="30">
        <f t="shared" si="169"/>
        <v>1290.6334967685809</v>
      </c>
      <c r="AE64" s="30">
        <f t="shared" si="169"/>
        <v>2592.8445799360293</v>
      </c>
      <c r="AF64" s="99">
        <f t="shared" ref="AF64:AF67" si="170">SUM(T64:AE64)</f>
        <v>12009.882901368053</v>
      </c>
      <c r="AH64" s="1" t="s">
        <v>134</v>
      </c>
      <c r="AI64" s="30">
        <f t="shared" ref="AI64:AT64" si="171">AI8/AI68</f>
        <v>725.19506259432274</v>
      </c>
      <c r="AJ64" s="30">
        <f t="shared" si="171"/>
        <v>826.3183537190082</v>
      </c>
      <c r="AK64" s="30">
        <f t="shared" si="171"/>
        <v>905.57047142776526</v>
      </c>
      <c r="AL64" s="30">
        <f t="shared" si="171"/>
        <v>739.34532504491551</v>
      </c>
      <c r="AM64" s="30">
        <f t="shared" si="171"/>
        <v>1043.86980689903</v>
      </c>
      <c r="AN64" s="30">
        <f t="shared" si="171"/>
        <v>1460.318412288897</v>
      </c>
      <c r="AO64" s="30">
        <f t="shared" si="171"/>
        <v>1112.9526846640315</v>
      </c>
      <c r="AP64" s="30">
        <f t="shared" si="171"/>
        <v>1369.9885459123248</v>
      </c>
      <c r="AQ64" s="30">
        <f t="shared" si="171"/>
        <v>1577.612390513834</v>
      </c>
      <c r="AR64" s="30">
        <f t="shared" si="171"/>
        <v>2797.8182214157378</v>
      </c>
      <c r="AS64" s="30">
        <f t="shared" si="171"/>
        <v>1994.6154040968975</v>
      </c>
      <c r="AT64" s="30">
        <f t="shared" si="171"/>
        <v>4007.1234417193177</v>
      </c>
      <c r="AU64" s="99">
        <f t="shared" ref="AU64:AU67" si="172">SUM(AI64:AT64)</f>
        <v>18560.728120296084</v>
      </c>
      <c r="AX64" s="25">
        <f>+AF64/Q64-1</f>
        <v>0.54545454545454564</v>
      </c>
      <c r="AY64" s="25">
        <f>+AU64/AF64-1</f>
        <v>0.54545454545454564</v>
      </c>
    </row>
    <row r="65" spans="1:51" x14ac:dyDescent="0.2">
      <c r="A65" s="30"/>
      <c r="C65" s="1" t="s">
        <v>135</v>
      </c>
      <c r="E65" s="30">
        <f t="shared" ref="E65:P65" si="173">E9/E68</f>
        <v>61.410063826086962</v>
      </c>
      <c r="F65" s="30">
        <f t="shared" si="173"/>
        <v>85.992443478260867</v>
      </c>
      <c r="G65" s="30">
        <f t="shared" si="173"/>
        <v>124.19257139130434</v>
      </c>
      <c r="H65" s="30">
        <f t="shared" si="173"/>
        <v>102.76</v>
      </c>
      <c r="I65" s="30">
        <f t="shared" si="173"/>
        <v>102.97742608695651</v>
      </c>
      <c r="J65" s="30">
        <f t="shared" si="173"/>
        <v>176.61742608695653</v>
      </c>
      <c r="K65" s="30">
        <f t="shared" si="173"/>
        <v>122.99249565217391</v>
      </c>
      <c r="L65" s="30">
        <f t="shared" si="173"/>
        <v>179.39733913043477</v>
      </c>
      <c r="M65" s="30">
        <f t="shared" si="173"/>
        <v>258.84490434782612</v>
      </c>
      <c r="N65" s="30">
        <f t="shared" si="173"/>
        <v>189.49243478260871</v>
      </c>
      <c r="O65" s="30">
        <f t="shared" si="173"/>
        <v>504.1190391226956</v>
      </c>
      <c r="P65" s="30">
        <f t="shared" si="173"/>
        <v>597.10817497891298</v>
      </c>
      <c r="Q65" s="99">
        <f t="shared" si="168"/>
        <v>2505.904318884217</v>
      </c>
      <c r="S65" s="1" t="s">
        <v>135</v>
      </c>
      <c r="T65" s="30">
        <f t="shared" ref="T65:AE65" si="174">T9/T68</f>
        <v>66.99279690118577</v>
      </c>
      <c r="U65" s="30">
        <f t="shared" si="174"/>
        <v>93.809938339920933</v>
      </c>
      <c r="V65" s="30">
        <f t="shared" si="174"/>
        <v>135.48280515415018</v>
      </c>
      <c r="W65" s="30">
        <f t="shared" si="174"/>
        <v>112.10181818181817</v>
      </c>
      <c r="X65" s="30">
        <f t="shared" si="174"/>
        <v>112.33901027667984</v>
      </c>
      <c r="Y65" s="30">
        <f t="shared" si="174"/>
        <v>192.67355573122529</v>
      </c>
      <c r="Z65" s="30">
        <f t="shared" si="174"/>
        <v>134.17363162055335</v>
      </c>
      <c r="AA65" s="30">
        <f t="shared" si="174"/>
        <v>195.70618814229246</v>
      </c>
      <c r="AB65" s="30">
        <f t="shared" si="174"/>
        <v>282.37625928853754</v>
      </c>
      <c r="AC65" s="30">
        <f t="shared" si="174"/>
        <v>206.71901976284585</v>
      </c>
      <c r="AD65" s="30">
        <f t="shared" si="174"/>
        <v>549.94804267930431</v>
      </c>
      <c r="AE65" s="30">
        <f t="shared" si="174"/>
        <v>651.39073634063232</v>
      </c>
      <c r="AF65" s="99">
        <f t="shared" si="170"/>
        <v>2733.7138024191463</v>
      </c>
      <c r="AH65" s="1" t="s">
        <v>135</v>
      </c>
      <c r="AI65" s="30">
        <f t="shared" ref="AI65:AT65" si="175">AI9/AI68</f>
        <v>73.083051164929941</v>
      </c>
      <c r="AJ65" s="30">
        <f t="shared" si="175"/>
        <v>102.33811455264102</v>
      </c>
      <c r="AK65" s="30">
        <f t="shared" si="175"/>
        <v>147.79942380452746</v>
      </c>
      <c r="AL65" s="30">
        <f t="shared" si="175"/>
        <v>122.29289256198345</v>
      </c>
      <c r="AM65" s="30">
        <f t="shared" si="175"/>
        <v>122.55164757455982</v>
      </c>
      <c r="AN65" s="30">
        <f t="shared" si="175"/>
        <v>210.18933352497308</v>
      </c>
      <c r="AO65" s="30">
        <f t="shared" si="175"/>
        <v>146.37123449514911</v>
      </c>
      <c r="AP65" s="30">
        <f t="shared" si="175"/>
        <v>213.49765979159179</v>
      </c>
      <c r="AQ65" s="30">
        <f t="shared" si="175"/>
        <v>308.04682831476822</v>
      </c>
      <c r="AR65" s="30">
        <f t="shared" si="175"/>
        <v>225.51165792310456</v>
      </c>
      <c r="AS65" s="30">
        <f t="shared" si="175"/>
        <v>599.94331928651377</v>
      </c>
      <c r="AT65" s="30">
        <f t="shared" si="175"/>
        <v>710.6080760079625</v>
      </c>
      <c r="AU65" s="99">
        <f t="shared" si="172"/>
        <v>2982.2332390027045</v>
      </c>
      <c r="AX65" s="25">
        <f>+AF65/Q65-1</f>
        <v>9.090909090909105E-2</v>
      </c>
      <c r="AY65" s="25">
        <f>+AU65/AF65-1</f>
        <v>9.0909090909090606E-2</v>
      </c>
    </row>
    <row r="66" spans="1:51" x14ac:dyDescent="0.2">
      <c r="A66" s="30"/>
      <c r="C66" s="1" t="s">
        <v>136</v>
      </c>
      <c r="E66" s="30">
        <f t="shared" ref="E66:P66" si="176">E64/30</f>
        <v>10.120946086956524</v>
      </c>
      <c r="F66" s="30">
        <f t="shared" si="176"/>
        <v>11.532240000000002</v>
      </c>
      <c r="G66" s="30">
        <f t="shared" si="176"/>
        <v>12.638296083363278</v>
      </c>
      <c r="H66" s="30">
        <f t="shared" si="176"/>
        <v>10.318429565217391</v>
      </c>
      <c r="I66" s="30">
        <f t="shared" si="176"/>
        <v>14.568425217391306</v>
      </c>
      <c r="J66" s="30">
        <f t="shared" si="176"/>
        <v>20.380453043478262</v>
      </c>
      <c r="K66" s="30">
        <f t="shared" si="176"/>
        <v>15.532557652173912</v>
      </c>
      <c r="L66" s="30">
        <f t="shared" si="176"/>
        <v>19.119794008695649</v>
      </c>
      <c r="M66" s="30">
        <f t="shared" si="176"/>
        <v>22.017427826086955</v>
      </c>
      <c r="N66" s="30">
        <f t="shared" si="176"/>
        <v>39.046828695652167</v>
      </c>
      <c r="O66" s="30">
        <f t="shared" si="176"/>
        <v>27.837193067557628</v>
      </c>
      <c r="P66" s="30">
        <f t="shared" si="176"/>
        <v>55.92409878293396</v>
      </c>
      <c r="Q66" s="99">
        <f t="shared" si="168"/>
        <v>259.03669002950704</v>
      </c>
      <c r="S66" s="1" t="s">
        <v>136</v>
      </c>
      <c r="T66" s="30">
        <f t="shared" ref="T66:AE66" si="177">T64/30</f>
        <v>15.641462134387352</v>
      </c>
      <c r="U66" s="30">
        <f t="shared" si="177"/>
        <v>17.822552727272729</v>
      </c>
      <c r="V66" s="30">
        <f t="shared" si="177"/>
        <v>19.531912128834154</v>
      </c>
      <c r="W66" s="30">
        <f t="shared" si="177"/>
        <v>15.946663873517787</v>
      </c>
      <c r="X66" s="30">
        <f t="shared" si="177"/>
        <v>22.514838972332019</v>
      </c>
      <c r="Y66" s="30">
        <f t="shared" si="177"/>
        <v>31.497063794466403</v>
      </c>
      <c r="Z66" s="30">
        <f t="shared" si="177"/>
        <v>24.004861826086952</v>
      </c>
      <c r="AA66" s="30">
        <f t="shared" si="177"/>
        <v>29.548772558893283</v>
      </c>
      <c r="AB66" s="30">
        <f t="shared" si="177"/>
        <v>34.026933913043479</v>
      </c>
      <c r="AC66" s="30">
        <f t="shared" si="177"/>
        <v>60.345098893280621</v>
      </c>
      <c r="AD66" s="30">
        <f t="shared" si="177"/>
        <v>43.021116558952698</v>
      </c>
      <c r="AE66" s="30">
        <f t="shared" si="177"/>
        <v>86.428152664534309</v>
      </c>
      <c r="AF66" s="99">
        <f t="shared" si="170"/>
        <v>400.32943004560184</v>
      </c>
      <c r="AH66" s="1" t="s">
        <v>136</v>
      </c>
      <c r="AI66" s="30">
        <f t="shared" ref="AI66" si="178">AI64/30</f>
        <v>24.17316875314409</v>
      </c>
      <c r="AJ66" s="30">
        <f t="shared" ref="AJ66:AT66" si="179">AJ64/30</f>
        <v>27.543945123966939</v>
      </c>
      <c r="AK66" s="30">
        <f t="shared" si="179"/>
        <v>30.18568238092551</v>
      </c>
      <c r="AL66" s="30">
        <f t="shared" si="179"/>
        <v>24.64484416816385</v>
      </c>
      <c r="AM66" s="30">
        <f t="shared" si="179"/>
        <v>34.795660229967666</v>
      </c>
      <c r="AN66" s="30">
        <f t="shared" si="179"/>
        <v>48.677280409629901</v>
      </c>
      <c r="AO66" s="30">
        <f t="shared" si="179"/>
        <v>37.098422822134381</v>
      </c>
      <c r="AP66" s="30">
        <f t="shared" si="179"/>
        <v>45.66628486374416</v>
      </c>
      <c r="AQ66" s="30">
        <f t="shared" si="179"/>
        <v>52.587079683794471</v>
      </c>
      <c r="AR66" s="30">
        <f t="shared" si="179"/>
        <v>93.26060738052459</v>
      </c>
      <c r="AS66" s="30">
        <f t="shared" si="179"/>
        <v>66.487180136563254</v>
      </c>
      <c r="AT66" s="30">
        <f t="shared" si="179"/>
        <v>133.57078139064393</v>
      </c>
      <c r="AU66" s="99">
        <f t="shared" si="172"/>
        <v>618.69093734320279</v>
      </c>
      <c r="AX66" s="25">
        <f>+AF66/Q66-1</f>
        <v>0.54545454545454564</v>
      </c>
      <c r="AY66" s="25">
        <f>+AU66/AF66-1</f>
        <v>0.54545454545454541</v>
      </c>
    </row>
    <row r="67" spans="1:51" x14ac:dyDescent="0.2">
      <c r="A67" s="30"/>
      <c r="C67" s="1" t="s">
        <v>137</v>
      </c>
      <c r="E67" s="30">
        <f t="shared" ref="E67:P67" si="180">E65/30</f>
        <v>2.0470021275362322</v>
      </c>
      <c r="F67" s="30">
        <f t="shared" si="180"/>
        <v>2.8664147826086954</v>
      </c>
      <c r="G67" s="30">
        <f t="shared" si="180"/>
        <v>4.1397523797101448</v>
      </c>
      <c r="H67" s="30">
        <f t="shared" si="180"/>
        <v>3.4253333333333336</v>
      </c>
      <c r="I67" s="30">
        <f t="shared" si="180"/>
        <v>3.4325808695652169</v>
      </c>
      <c r="J67" s="30">
        <f t="shared" si="180"/>
        <v>5.8872475362318841</v>
      </c>
      <c r="K67" s="30">
        <f t="shared" si="180"/>
        <v>4.0997498550724636</v>
      </c>
      <c r="L67" s="30">
        <f t="shared" si="180"/>
        <v>5.9799113043478256</v>
      </c>
      <c r="M67" s="30">
        <f t="shared" si="180"/>
        <v>8.6281634782608698</v>
      </c>
      <c r="N67" s="30">
        <f t="shared" si="180"/>
        <v>6.3164144927536237</v>
      </c>
      <c r="O67" s="30">
        <f t="shared" si="180"/>
        <v>16.803967970756521</v>
      </c>
      <c r="P67" s="30">
        <f t="shared" si="180"/>
        <v>19.903605832630433</v>
      </c>
      <c r="Q67" s="99">
        <f t="shared" si="168"/>
        <v>83.530143962807244</v>
      </c>
      <c r="S67" s="1" t="s">
        <v>137</v>
      </c>
      <c r="T67" s="30">
        <f t="shared" ref="T67:AE67" si="181">T65/30</f>
        <v>2.2330932300395259</v>
      </c>
      <c r="U67" s="30">
        <f t="shared" si="181"/>
        <v>3.1269979446640312</v>
      </c>
      <c r="V67" s="30">
        <f t="shared" si="181"/>
        <v>4.5160935051383397</v>
      </c>
      <c r="W67" s="30">
        <f t="shared" si="181"/>
        <v>3.7367272727272725</v>
      </c>
      <c r="X67" s="30">
        <f t="shared" si="181"/>
        <v>3.7446336758893279</v>
      </c>
      <c r="Y67" s="30">
        <f t="shared" si="181"/>
        <v>6.42245185770751</v>
      </c>
      <c r="Z67" s="30">
        <f t="shared" si="181"/>
        <v>4.4724543873517781</v>
      </c>
      <c r="AA67" s="30">
        <f t="shared" si="181"/>
        <v>6.5235396047430818</v>
      </c>
      <c r="AB67" s="30">
        <f t="shared" si="181"/>
        <v>9.4125419762845848</v>
      </c>
      <c r="AC67" s="30">
        <f t="shared" si="181"/>
        <v>6.8906339920948616</v>
      </c>
      <c r="AD67" s="30">
        <f t="shared" si="181"/>
        <v>18.331601422643477</v>
      </c>
      <c r="AE67" s="30">
        <f t="shared" si="181"/>
        <v>21.713024544687745</v>
      </c>
      <c r="AF67" s="99">
        <f t="shared" si="170"/>
        <v>91.123793413971526</v>
      </c>
      <c r="AH67" s="1" t="s">
        <v>137</v>
      </c>
      <c r="AI67" s="30">
        <f t="shared" ref="AI67" si="182">AI65/30</f>
        <v>2.4361017054976646</v>
      </c>
      <c r="AJ67" s="30">
        <f t="shared" ref="AJ67:AT67" si="183">AJ65/30</f>
        <v>3.4112704850880338</v>
      </c>
      <c r="AK67" s="30">
        <f t="shared" si="183"/>
        <v>4.9266474601509156</v>
      </c>
      <c r="AL67" s="30">
        <f t="shared" si="183"/>
        <v>4.0764297520661152</v>
      </c>
      <c r="AM67" s="30">
        <f t="shared" si="183"/>
        <v>4.085054919151994</v>
      </c>
      <c r="AN67" s="30">
        <f t="shared" si="183"/>
        <v>7.0063111174991031</v>
      </c>
      <c r="AO67" s="30">
        <f t="shared" si="183"/>
        <v>4.8790411498383035</v>
      </c>
      <c r="AP67" s="30">
        <f t="shared" si="183"/>
        <v>7.1165886597197261</v>
      </c>
      <c r="AQ67" s="30">
        <f t="shared" si="183"/>
        <v>10.268227610492273</v>
      </c>
      <c r="AR67" s="30">
        <f t="shared" si="183"/>
        <v>7.5170552641034858</v>
      </c>
      <c r="AS67" s="30">
        <f t="shared" si="183"/>
        <v>19.998110642883791</v>
      </c>
      <c r="AT67" s="30">
        <f t="shared" si="183"/>
        <v>23.686935866932082</v>
      </c>
      <c r="AU67" s="99">
        <f t="shared" si="172"/>
        <v>99.407774633423486</v>
      </c>
      <c r="AX67" s="25">
        <f>+AF67/Q67-1</f>
        <v>9.0909090909090828E-2</v>
      </c>
      <c r="AY67" s="25">
        <f>+AU67/AF67-1</f>
        <v>9.0909090909090828E-2</v>
      </c>
    </row>
    <row r="68" spans="1:51" x14ac:dyDescent="0.2">
      <c r="A68" s="30"/>
      <c r="C68" s="100" t="s">
        <v>45</v>
      </c>
      <c r="E68" s="29">
        <f>Ventas!$S$37</f>
        <v>1150</v>
      </c>
      <c r="F68" s="29">
        <f>Ventas!$S$37</f>
        <v>1150</v>
      </c>
      <c r="G68" s="29">
        <f>Ventas!$S$37</f>
        <v>1150</v>
      </c>
      <c r="H68" s="29">
        <f>Ventas!$S$37</f>
        <v>1150</v>
      </c>
      <c r="I68" s="29">
        <f>Ventas!$S$37</f>
        <v>1150</v>
      </c>
      <c r="J68" s="29">
        <f>Ventas!$S$37</f>
        <v>1150</v>
      </c>
      <c r="K68" s="29">
        <f>Ventas!$S$37</f>
        <v>1150</v>
      </c>
      <c r="L68" s="29">
        <f>Ventas!$S$37</f>
        <v>1150</v>
      </c>
      <c r="M68" s="29">
        <f>Ventas!$S$37</f>
        <v>1150</v>
      </c>
      <c r="N68" s="29">
        <f>Ventas!$S$37</f>
        <v>1150</v>
      </c>
      <c r="O68" s="29">
        <f>Ventas!$S$37</f>
        <v>1150</v>
      </c>
      <c r="P68" s="29">
        <f>Ventas!$S$37</f>
        <v>1150</v>
      </c>
      <c r="Q68" s="23">
        <f>AVERAGE(E68:P68)</f>
        <v>1150</v>
      </c>
      <c r="S68" s="2" t="s">
        <v>45</v>
      </c>
      <c r="T68" s="29">
        <f>Ventas!$AH$37</f>
        <v>1265</v>
      </c>
      <c r="U68" s="29">
        <f>Ventas!$AH$37</f>
        <v>1265</v>
      </c>
      <c r="V68" s="29">
        <f>Ventas!$AH$37</f>
        <v>1265</v>
      </c>
      <c r="W68" s="29">
        <f>Ventas!$AH$37</f>
        <v>1265</v>
      </c>
      <c r="X68" s="29">
        <f>Ventas!$AH$37</f>
        <v>1265</v>
      </c>
      <c r="Y68" s="29">
        <f>Ventas!$AH$37</f>
        <v>1265</v>
      </c>
      <c r="Z68" s="29">
        <f>Ventas!$AH$37</f>
        <v>1265</v>
      </c>
      <c r="AA68" s="29">
        <f>Ventas!$AH$37</f>
        <v>1265</v>
      </c>
      <c r="AB68" s="29">
        <f>Ventas!$AH$37</f>
        <v>1265</v>
      </c>
      <c r="AC68" s="29">
        <f>Ventas!$AH$37</f>
        <v>1265</v>
      </c>
      <c r="AD68" s="29">
        <f>Ventas!$AH$37</f>
        <v>1265</v>
      </c>
      <c r="AE68" s="29">
        <f>Ventas!$AH$37</f>
        <v>1265</v>
      </c>
      <c r="AF68" s="23">
        <f>AVERAGE(T68:AE68)</f>
        <v>1265</v>
      </c>
      <c r="AH68" s="2" t="s">
        <v>45</v>
      </c>
      <c r="AI68" s="29">
        <f>Ventas!$AW$37</f>
        <v>1391.5</v>
      </c>
      <c r="AJ68" s="29">
        <f>Ventas!$AW$37</f>
        <v>1391.5</v>
      </c>
      <c r="AK68" s="29">
        <f>Ventas!$AW$37</f>
        <v>1391.5</v>
      </c>
      <c r="AL68" s="29">
        <f>Ventas!$AW$37</f>
        <v>1391.5</v>
      </c>
      <c r="AM68" s="29">
        <f>Ventas!$AW$37</f>
        <v>1391.5</v>
      </c>
      <c r="AN68" s="29">
        <f>Ventas!$AW$37</f>
        <v>1391.5</v>
      </c>
      <c r="AO68" s="29">
        <f>Ventas!$AW$37</f>
        <v>1391.5</v>
      </c>
      <c r="AP68" s="29">
        <f>Ventas!$AW$37</f>
        <v>1391.5</v>
      </c>
      <c r="AQ68" s="29">
        <f>Ventas!$AW$37</f>
        <v>1391.5</v>
      </c>
      <c r="AR68" s="29">
        <f>Ventas!$AW$37</f>
        <v>1391.5</v>
      </c>
      <c r="AS68" s="29">
        <f>Ventas!$AW$37</f>
        <v>1391.5</v>
      </c>
      <c r="AT68" s="29">
        <f>Ventas!$AW$37</f>
        <v>1391.5</v>
      </c>
      <c r="AU68" s="23">
        <f>AVERAGE(AI68:AT68)</f>
        <v>1391.5</v>
      </c>
      <c r="AX68" s="25">
        <f>+AF68/Q68-1</f>
        <v>0.10000000000000009</v>
      </c>
      <c r="AY68" s="25">
        <f>+AU68/AF68-1</f>
        <v>0.10000000000000009</v>
      </c>
    </row>
    <row r="70" spans="1:51" x14ac:dyDescent="0.2">
      <c r="D70" s="23"/>
      <c r="E70" s="23"/>
      <c r="F70" s="23"/>
      <c r="G70" s="23"/>
      <c r="J70" s="23"/>
      <c r="K70" s="23"/>
      <c r="L70" s="23"/>
      <c r="M70" s="23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51" x14ac:dyDescent="0.2">
      <c r="D71" s="101"/>
      <c r="E71" s="10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51" x14ac:dyDescent="0.2"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S72" s="2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H72" s="2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1:51" x14ac:dyDescent="0.2">
      <c r="C73" s="103" t="s">
        <v>21</v>
      </c>
      <c r="D73" s="104"/>
      <c r="E73" s="105">
        <v>1</v>
      </c>
      <c r="F73" s="105">
        <v>2</v>
      </c>
      <c r="G73" s="105">
        <v>3</v>
      </c>
      <c r="H73" s="105">
        <v>4</v>
      </c>
      <c r="I73" s="105">
        <v>5</v>
      </c>
      <c r="J73" s="105">
        <v>6</v>
      </c>
      <c r="K73" s="105">
        <v>7</v>
      </c>
      <c r="L73" s="105">
        <v>8</v>
      </c>
      <c r="M73" s="105">
        <v>9</v>
      </c>
      <c r="N73" s="105">
        <v>10</v>
      </c>
      <c r="O73" s="105">
        <v>11</v>
      </c>
      <c r="P73" s="105">
        <v>12</v>
      </c>
      <c r="Q73" s="106" t="s">
        <v>79</v>
      </c>
      <c r="S73" s="103"/>
      <c r="T73" s="105">
        <v>13</v>
      </c>
      <c r="U73" s="105">
        <v>14</v>
      </c>
      <c r="V73" s="105">
        <v>15</v>
      </c>
      <c r="W73" s="105">
        <v>16</v>
      </c>
      <c r="X73" s="105">
        <v>17</v>
      </c>
      <c r="Y73" s="105">
        <v>18</v>
      </c>
      <c r="Z73" s="105">
        <v>19</v>
      </c>
      <c r="AA73" s="105">
        <v>20</v>
      </c>
      <c r="AB73" s="105">
        <v>21</v>
      </c>
      <c r="AC73" s="105">
        <v>22</v>
      </c>
      <c r="AD73" s="105">
        <v>23</v>
      </c>
      <c r="AE73" s="105">
        <v>24</v>
      </c>
      <c r="AF73" s="106" t="s">
        <v>80</v>
      </c>
      <c r="AH73" s="103"/>
      <c r="AI73" s="105">
        <v>25</v>
      </c>
      <c r="AJ73" s="105">
        <v>26</v>
      </c>
      <c r="AK73" s="105">
        <v>27</v>
      </c>
      <c r="AL73" s="105">
        <v>28</v>
      </c>
      <c r="AM73" s="105">
        <v>29</v>
      </c>
      <c r="AN73" s="105">
        <v>30</v>
      </c>
      <c r="AO73" s="105">
        <v>31</v>
      </c>
      <c r="AP73" s="105">
        <v>32</v>
      </c>
      <c r="AQ73" s="105">
        <v>33</v>
      </c>
      <c r="AR73" s="105">
        <v>34</v>
      </c>
      <c r="AS73" s="105">
        <v>35</v>
      </c>
      <c r="AT73" s="105">
        <v>36</v>
      </c>
      <c r="AU73" s="106" t="s">
        <v>81</v>
      </c>
    </row>
    <row r="74" spans="1:51" ht="15.75" x14ac:dyDescent="0.25">
      <c r="C74" s="6" t="s">
        <v>22</v>
      </c>
      <c r="D74" s="6"/>
      <c r="S74" s="7" t="s">
        <v>22</v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H74" s="7" t="s">
        <v>22</v>
      </c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51" x14ac:dyDescent="0.2">
      <c r="C75" s="1" t="s">
        <v>23</v>
      </c>
      <c r="D75" s="23">
        <v>0</v>
      </c>
      <c r="E75" s="23">
        <f t="shared" ref="E75:P75" si="184">E8*0.7</f>
        <v>244420.848</v>
      </c>
      <c r="F75" s="23">
        <f t="shared" si="184"/>
        <v>278503.59600000002</v>
      </c>
      <c r="G75" s="23">
        <f t="shared" si="184"/>
        <v>305214.85041322315</v>
      </c>
      <c r="H75" s="23">
        <f t="shared" si="184"/>
        <v>249190.07399999999</v>
      </c>
      <c r="I75" s="23">
        <f t="shared" si="184"/>
        <v>351827.46899999998</v>
      </c>
      <c r="J75" s="23">
        <f t="shared" si="184"/>
        <v>492187.94099999999</v>
      </c>
      <c r="K75" s="23">
        <f t="shared" si="184"/>
        <v>375111.26729999995</v>
      </c>
      <c r="L75" s="23">
        <f t="shared" si="184"/>
        <v>461743.02530999994</v>
      </c>
      <c r="M75" s="23">
        <f t="shared" si="184"/>
        <v>531720.88199999998</v>
      </c>
      <c r="N75" s="23">
        <f t="shared" si="184"/>
        <v>942980.91299999983</v>
      </c>
      <c r="O75" s="23">
        <f t="shared" si="184"/>
        <v>672268.21258151671</v>
      </c>
      <c r="P75" s="23">
        <f t="shared" si="184"/>
        <v>1350566.9856078553</v>
      </c>
      <c r="Q75" s="23">
        <f>SUM(E75:P75)</f>
        <v>6255736.0642125942</v>
      </c>
      <c r="S75" s="2" t="s">
        <v>23</v>
      </c>
      <c r="T75" s="23">
        <f t="shared" ref="T75:AE75" si="185">T8*0.7</f>
        <v>415515.44159999996</v>
      </c>
      <c r="U75" s="23">
        <f t="shared" si="185"/>
        <v>473456.11320000002</v>
      </c>
      <c r="V75" s="23">
        <f t="shared" si="185"/>
        <v>518865.24570247927</v>
      </c>
      <c r="W75" s="23">
        <f t="shared" si="185"/>
        <v>423623.12579999998</v>
      </c>
      <c r="X75" s="23">
        <f t="shared" si="185"/>
        <v>598106.6973</v>
      </c>
      <c r="Y75" s="23">
        <f t="shared" si="185"/>
        <v>836719.49969999993</v>
      </c>
      <c r="Z75" s="23">
        <f t="shared" si="185"/>
        <v>637689.15440999984</v>
      </c>
      <c r="AA75" s="23">
        <f t="shared" si="185"/>
        <v>784963.14302700001</v>
      </c>
      <c r="AB75" s="23">
        <f t="shared" si="185"/>
        <v>903925.49939999997</v>
      </c>
      <c r="AC75" s="23">
        <f t="shared" si="185"/>
        <v>1603067.5520999995</v>
      </c>
      <c r="AD75" s="23">
        <f t="shared" si="185"/>
        <v>1142855.9613885782</v>
      </c>
      <c r="AE75" s="23">
        <f t="shared" si="185"/>
        <v>2295963.8755333535</v>
      </c>
      <c r="AF75" s="23">
        <f>SUM(T75:AE75)</f>
        <v>10634751.309161412</v>
      </c>
      <c r="AH75" s="2" t="s">
        <v>23</v>
      </c>
      <c r="AI75" s="23">
        <f t="shared" ref="AI75:AT75" si="186">AI8*0.7</f>
        <v>706376.25072000001</v>
      </c>
      <c r="AJ75" s="23">
        <f t="shared" si="186"/>
        <v>804875.39243999997</v>
      </c>
      <c r="AK75" s="23">
        <f t="shared" si="186"/>
        <v>882070.91769421473</v>
      </c>
      <c r="AL75" s="23">
        <f t="shared" si="186"/>
        <v>720159.31385999988</v>
      </c>
      <c r="AM75" s="23">
        <f t="shared" si="186"/>
        <v>1016781.38541</v>
      </c>
      <c r="AN75" s="23">
        <f t="shared" si="186"/>
        <v>1422423.14949</v>
      </c>
      <c r="AO75" s="23">
        <f t="shared" si="186"/>
        <v>1084071.5624969997</v>
      </c>
      <c r="AP75" s="23">
        <f t="shared" si="186"/>
        <v>1334437.3431458999</v>
      </c>
      <c r="AQ75" s="23">
        <f t="shared" si="186"/>
        <v>1536673.34898</v>
      </c>
      <c r="AR75" s="23">
        <f t="shared" si="186"/>
        <v>2725214.8385699992</v>
      </c>
      <c r="AS75" s="23">
        <f t="shared" si="186"/>
        <v>1942855.1343605828</v>
      </c>
      <c r="AT75" s="23">
        <f t="shared" si="186"/>
        <v>3903138.5884067011</v>
      </c>
      <c r="AU75" s="23">
        <f>SUM(AI75:AT75)</f>
        <v>18079077.225574397</v>
      </c>
    </row>
    <row r="76" spans="1:51" x14ac:dyDescent="0.2">
      <c r="C76" s="1" t="s">
        <v>24</v>
      </c>
      <c r="D76" s="23">
        <v>0</v>
      </c>
      <c r="E76" s="23">
        <f t="shared" ref="E76:P76" si="187">E9*0.7</f>
        <v>49435.10138</v>
      </c>
      <c r="F76" s="23">
        <f t="shared" si="187"/>
        <v>69223.916999999987</v>
      </c>
      <c r="G76" s="23">
        <f t="shared" si="187"/>
        <v>99975.019969999994</v>
      </c>
      <c r="H76" s="23">
        <f t="shared" si="187"/>
        <v>82721.799999999988</v>
      </c>
      <c r="I76" s="23">
        <f t="shared" si="187"/>
        <v>82896.827999999994</v>
      </c>
      <c r="J76" s="23">
        <f t="shared" si="187"/>
        <v>142177.02799999999</v>
      </c>
      <c r="K76" s="23">
        <f t="shared" si="187"/>
        <v>99008.958999999988</v>
      </c>
      <c r="L76" s="23">
        <f t="shared" si="187"/>
        <v>144414.85799999998</v>
      </c>
      <c r="M76" s="23">
        <f t="shared" si="187"/>
        <v>208370.14799999999</v>
      </c>
      <c r="N76" s="23">
        <f t="shared" si="187"/>
        <v>152541.41</v>
      </c>
      <c r="O76" s="23">
        <f t="shared" si="187"/>
        <v>405815.82649376994</v>
      </c>
      <c r="P76" s="23">
        <f t="shared" si="187"/>
        <v>480672.08085802494</v>
      </c>
      <c r="Q76" s="23">
        <f>SUM(E76:P76)</f>
        <v>2017252.9767017949</v>
      </c>
      <c r="S76" s="2" t="s">
        <v>24</v>
      </c>
      <c r="T76" s="23">
        <f t="shared" ref="T76:AE76" si="188">T9*0.7</f>
        <v>59322.121655999996</v>
      </c>
      <c r="U76" s="23">
        <f t="shared" si="188"/>
        <v>83068.700399999987</v>
      </c>
      <c r="V76" s="23">
        <f t="shared" si="188"/>
        <v>119970.02396399999</v>
      </c>
      <c r="W76" s="23">
        <f t="shared" si="188"/>
        <v>99266.159999999989</v>
      </c>
      <c r="X76" s="23">
        <f t="shared" si="188"/>
        <v>99476.193599999999</v>
      </c>
      <c r="Y76" s="23">
        <f t="shared" si="188"/>
        <v>170612.43359999999</v>
      </c>
      <c r="Z76" s="23">
        <f t="shared" si="188"/>
        <v>118810.75079999999</v>
      </c>
      <c r="AA76" s="23">
        <f t="shared" si="188"/>
        <v>173297.82959999997</v>
      </c>
      <c r="AB76" s="23">
        <f t="shared" si="188"/>
        <v>250044.17759999997</v>
      </c>
      <c r="AC76" s="23">
        <f t="shared" si="188"/>
        <v>183049.69199999998</v>
      </c>
      <c r="AD76" s="23">
        <f t="shared" si="188"/>
        <v>486978.99179252388</v>
      </c>
      <c r="AE76" s="23">
        <f t="shared" si="188"/>
        <v>576806.49702962989</v>
      </c>
      <c r="AF76" s="23">
        <f>SUM(T76:AE76)</f>
        <v>2420703.5720421537</v>
      </c>
      <c r="AH76" s="2" t="s">
        <v>24</v>
      </c>
      <c r="AI76" s="23">
        <f t="shared" ref="AI76:AT76" si="189">AI9*0.7</f>
        <v>71186.545987199992</v>
      </c>
      <c r="AJ76" s="23">
        <f t="shared" si="189"/>
        <v>99682.440479999976</v>
      </c>
      <c r="AK76" s="23">
        <f t="shared" si="189"/>
        <v>143964.02875679996</v>
      </c>
      <c r="AL76" s="23">
        <f t="shared" si="189"/>
        <v>119119.39199999996</v>
      </c>
      <c r="AM76" s="23">
        <f t="shared" si="189"/>
        <v>119371.43231999999</v>
      </c>
      <c r="AN76" s="23">
        <f t="shared" si="189"/>
        <v>204734.92032</v>
      </c>
      <c r="AO76" s="23">
        <f t="shared" si="189"/>
        <v>142572.90096</v>
      </c>
      <c r="AP76" s="23">
        <f t="shared" si="189"/>
        <v>207957.39551999999</v>
      </c>
      <c r="AQ76" s="23">
        <f t="shared" si="189"/>
        <v>300053.01311999996</v>
      </c>
      <c r="AR76" s="23">
        <f t="shared" si="189"/>
        <v>219659.63039999999</v>
      </c>
      <c r="AS76" s="23">
        <f t="shared" si="189"/>
        <v>584374.79015102866</v>
      </c>
      <c r="AT76" s="23">
        <f t="shared" si="189"/>
        <v>692167.79643555591</v>
      </c>
      <c r="AU76" s="23">
        <f>SUM(AI76:AT76)</f>
        <v>2904844.2864505844</v>
      </c>
    </row>
    <row r="77" spans="1:51" x14ac:dyDescent="0.2"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30"/>
      <c r="S77" s="2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30"/>
      <c r="AH77" s="2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30"/>
    </row>
    <row r="78" spans="1:51" ht="15.75" x14ac:dyDescent="0.25">
      <c r="C78" s="6" t="s">
        <v>25</v>
      </c>
      <c r="D78" s="6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30"/>
      <c r="S78" s="7" t="s">
        <v>25</v>
      </c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30"/>
      <c r="AH78" s="7" t="s">
        <v>25</v>
      </c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30"/>
    </row>
    <row r="79" spans="1:51" x14ac:dyDescent="0.2">
      <c r="C79" s="1" t="s">
        <v>26</v>
      </c>
      <c r="D79" s="23">
        <v>0</v>
      </c>
      <c r="E79" s="23">
        <f t="shared" ref="E79:P79" si="190">E65*$E$83</f>
        <v>211.86472019999999</v>
      </c>
      <c r="F79" s="23">
        <f t="shared" si="190"/>
        <v>296.67392999999998</v>
      </c>
      <c r="G79" s="23">
        <f t="shared" si="190"/>
        <v>428.46437129999993</v>
      </c>
      <c r="H79" s="23">
        <f t="shared" si="190"/>
        <v>354.52199999999999</v>
      </c>
      <c r="I79" s="23">
        <f t="shared" si="190"/>
        <v>355.27211999999992</v>
      </c>
      <c r="J79" s="23">
        <f t="shared" si="190"/>
        <v>609.33011999999997</v>
      </c>
      <c r="K79" s="23">
        <f t="shared" si="190"/>
        <v>424.32410999999996</v>
      </c>
      <c r="L79" s="23">
        <f t="shared" si="190"/>
        <v>618.92081999999994</v>
      </c>
      <c r="M79" s="23">
        <f t="shared" si="190"/>
        <v>893.01492000000007</v>
      </c>
      <c r="N79" s="23">
        <f t="shared" si="190"/>
        <v>653.74890000000005</v>
      </c>
      <c r="O79" s="23">
        <f t="shared" si="190"/>
        <v>1739.2106849732997</v>
      </c>
      <c r="P79" s="23">
        <f t="shared" si="190"/>
        <v>2060.0232036772495</v>
      </c>
      <c r="Q79" s="23">
        <f>SUM(E79:P79)</f>
        <v>8645.3699001505502</v>
      </c>
      <c r="S79" s="2" t="s">
        <v>26</v>
      </c>
      <c r="T79" s="23">
        <f t="shared" ref="T79:AE79" si="191">T65*$T$83</f>
        <v>254.23766423999999</v>
      </c>
      <c r="U79" s="23">
        <f t="shared" si="191"/>
        <v>356.00871599999994</v>
      </c>
      <c r="V79" s="23">
        <f t="shared" si="191"/>
        <v>514.15724555999998</v>
      </c>
      <c r="W79" s="23">
        <f t="shared" si="191"/>
        <v>425.42639999999994</v>
      </c>
      <c r="X79" s="23">
        <f t="shared" si="191"/>
        <v>426.32654400000001</v>
      </c>
      <c r="Y79" s="23">
        <f t="shared" si="191"/>
        <v>731.196144</v>
      </c>
      <c r="Z79" s="23">
        <f t="shared" si="191"/>
        <v>509.18893199999997</v>
      </c>
      <c r="AA79" s="23">
        <f t="shared" si="191"/>
        <v>742.70498399999985</v>
      </c>
      <c r="AB79" s="23">
        <f t="shared" si="191"/>
        <v>1071.617904</v>
      </c>
      <c r="AC79" s="23">
        <f t="shared" si="191"/>
        <v>784.49867999999992</v>
      </c>
      <c r="AD79" s="23">
        <f t="shared" si="191"/>
        <v>2087.05282196796</v>
      </c>
      <c r="AE79" s="23">
        <f t="shared" si="191"/>
        <v>2472.0278444126998</v>
      </c>
      <c r="AF79" s="23">
        <f>SUM(T79:AE79)</f>
        <v>10374.443880180659</v>
      </c>
      <c r="AH79" s="2" t="s">
        <v>26</v>
      </c>
      <c r="AI79" s="23">
        <f t="shared" ref="AI79:AT79" si="192">AI65*$AI$83</f>
        <v>305.08519708800003</v>
      </c>
      <c r="AJ79" s="23">
        <f t="shared" si="192"/>
        <v>427.21045919999995</v>
      </c>
      <c r="AK79" s="23">
        <f t="shared" si="192"/>
        <v>616.98869467199995</v>
      </c>
      <c r="AL79" s="23">
        <f t="shared" si="192"/>
        <v>510.5116799999999</v>
      </c>
      <c r="AM79" s="23">
        <f t="shared" si="192"/>
        <v>511.59185279999997</v>
      </c>
      <c r="AN79" s="23">
        <f t="shared" si="192"/>
        <v>877.4353728000001</v>
      </c>
      <c r="AO79" s="23">
        <f t="shared" si="192"/>
        <v>611.02671839999994</v>
      </c>
      <c r="AP79" s="23">
        <f t="shared" si="192"/>
        <v>891.24598079999998</v>
      </c>
      <c r="AQ79" s="23">
        <f t="shared" si="192"/>
        <v>1285.9414847999999</v>
      </c>
      <c r="AR79" s="23">
        <f t="shared" si="192"/>
        <v>941.398416</v>
      </c>
      <c r="AS79" s="23">
        <f t="shared" si="192"/>
        <v>2504.4633863615518</v>
      </c>
      <c r="AT79" s="23">
        <f t="shared" si="192"/>
        <v>2966.4334132952395</v>
      </c>
      <c r="AU79" s="23">
        <f>SUM(AI79:AT79)</f>
        <v>12449.332656216789</v>
      </c>
    </row>
    <row r="80" spans="1:51" x14ac:dyDescent="0.2">
      <c r="C80" s="1" t="s">
        <v>27</v>
      </c>
      <c r="D80" s="23">
        <v>0</v>
      </c>
      <c r="E80" s="23">
        <f t="shared" ref="E80:P80" si="193">E9*1%</f>
        <v>706.21573400000011</v>
      </c>
      <c r="F80" s="23">
        <f t="shared" si="193"/>
        <v>988.91309999999999</v>
      </c>
      <c r="G80" s="23">
        <f t="shared" si="193"/>
        <v>1428.214571</v>
      </c>
      <c r="H80" s="23">
        <f t="shared" si="193"/>
        <v>1181.74</v>
      </c>
      <c r="I80" s="23">
        <f t="shared" si="193"/>
        <v>1184.2403999999999</v>
      </c>
      <c r="J80" s="23">
        <f t="shared" si="193"/>
        <v>2031.1004</v>
      </c>
      <c r="K80" s="23">
        <f t="shared" si="193"/>
        <v>1414.4137000000001</v>
      </c>
      <c r="L80" s="23">
        <f t="shared" si="193"/>
        <v>2063.0693999999999</v>
      </c>
      <c r="M80" s="23">
        <f t="shared" si="193"/>
        <v>2976.7164000000002</v>
      </c>
      <c r="N80" s="23">
        <f t="shared" si="193"/>
        <v>2179.163</v>
      </c>
      <c r="O80" s="23">
        <f t="shared" si="193"/>
        <v>5797.3689499109996</v>
      </c>
      <c r="P80" s="23">
        <f t="shared" si="193"/>
        <v>6866.7440122574999</v>
      </c>
      <c r="Q80" s="23">
        <f>SUM(E80:P80)</f>
        <v>28817.899667168502</v>
      </c>
      <c r="S80" s="2" t="s">
        <v>27</v>
      </c>
      <c r="T80" s="23">
        <f t="shared" ref="T80:AE80" si="194">T9*1%</f>
        <v>847.45888080000009</v>
      </c>
      <c r="U80" s="23">
        <f t="shared" si="194"/>
        <v>1186.6957199999999</v>
      </c>
      <c r="V80" s="23">
        <f t="shared" si="194"/>
        <v>1713.8574851999999</v>
      </c>
      <c r="W80" s="23">
        <f t="shared" si="194"/>
        <v>1418.088</v>
      </c>
      <c r="X80" s="23">
        <f t="shared" si="194"/>
        <v>1421.0884800000001</v>
      </c>
      <c r="Y80" s="23">
        <f t="shared" si="194"/>
        <v>2437.3204800000003</v>
      </c>
      <c r="Z80" s="23">
        <f t="shared" si="194"/>
        <v>1697.2964400000001</v>
      </c>
      <c r="AA80" s="23">
        <f t="shared" si="194"/>
        <v>2475.6832799999997</v>
      </c>
      <c r="AB80" s="23">
        <f t="shared" si="194"/>
        <v>3572.0596799999998</v>
      </c>
      <c r="AC80" s="23">
        <f t="shared" si="194"/>
        <v>2614.9956000000002</v>
      </c>
      <c r="AD80" s="23">
        <f t="shared" si="194"/>
        <v>6956.842739893199</v>
      </c>
      <c r="AE80" s="23">
        <f t="shared" si="194"/>
        <v>8240.0928147089999</v>
      </c>
      <c r="AF80" s="23">
        <f>SUM(T80:AE80)</f>
        <v>34581.479600602193</v>
      </c>
      <c r="AH80" s="2" t="s">
        <v>27</v>
      </c>
      <c r="AI80" s="23">
        <f t="shared" ref="AI80:AT80" si="195">AI9*1%</f>
        <v>1016.9506569600001</v>
      </c>
      <c r="AJ80" s="23">
        <f t="shared" si="195"/>
        <v>1424.0348639999997</v>
      </c>
      <c r="AK80" s="23">
        <f t="shared" si="195"/>
        <v>2056.6289822399999</v>
      </c>
      <c r="AL80" s="23">
        <f t="shared" si="195"/>
        <v>1701.7055999999998</v>
      </c>
      <c r="AM80" s="23">
        <f t="shared" si="195"/>
        <v>1705.3061760000001</v>
      </c>
      <c r="AN80" s="23">
        <f t="shared" si="195"/>
        <v>2924.7845760000005</v>
      </c>
      <c r="AO80" s="23">
        <f t="shared" si="195"/>
        <v>2036.7557280000001</v>
      </c>
      <c r="AP80" s="23">
        <f t="shared" si="195"/>
        <v>2970.8199359999999</v>
      </c>
      <c r="AQ80" s="23">
        <f t="shared" si="195"/>
        <v>4286.4716159999998</v>
      </c>
      <c r="AR80" s="23">
        <f t="shared" si="195"/>
        <v>3137.9947200000001</v>
      </c>
      <c r="AS80" s="23">
        <f t="shared" si="195"/>
        <v>8348.2112878718399</v>
      </c>
      <c r="AT80" s="23">
        <f t="shared" si="195"/>
        <v>9888.1113776507991</v>
      </c>
      <c r="AU80" s="23">
        <f>SUM(AI80:AT80)</f>
        <v>41497.775520722636</v>
      </c>
    </row>
    <row r="81" spans="1:51" x14ac:dyDescent="0.2">
      <c r="C81" s="1" t="s">
        <v>28</v>
      </c>
      <c r="D81" s="23">
        <v>0</v>
      </c>
      <c r="E81" s="23">
        <f t="shared" ref="E81:P81" si="196">E8*5.5%</f>
        <v>19204.495200000001</v>
      </c>
      <c r="F81" s="23">
        <f t="shared" si="196"/>
        <v>21882.4254</v>
      </c>
      <c r="G81" s="23">
        <f t="shared" si="196"/>
        <v>23981.16681818182</v>
      </c>
      <c r="H81" s="23">
        <f t="shared" si="196"/>
        <v>19579.220100000002</v>
      </c>
      <c r="I81" s="23">
        <f t="shared" si="196"/>
        <v>27643.586850000003</v>
      </c>
      <c r="J81" s="23">
        <f t="shared" si="196"/>
        <v>38671.909650000001</v>
      </c>
      <c r="K81" s="23">
        <f t="shared" si="196"/>
        <v>29473.028144999997</v>
      </c>
      <c r="L81" s="23">
        <f t="shared" si="196"/>
        <v>36279.809131499998</v>
      </c>
      <c r="M81" s="23">
        <f t="shared" si="196"/>
        <v>41778.069300000003</v>
      </c>
      <c r="N81" s="23">
        <f t="shared" si="196"/>
        <v>74091.357449999996</v>
      </c>
      <c r="O81" s="23">
        <f t="shared" si="196"/>
        <v>52821.073845690596</v>
      </c>
      <c r="P81" s="23">
        <f t="shared" si="196"/>
        <v>106115.97744061719</v>
      </c>
      <c r="Q81" s="23">
        <f>SUM(E81:P81)</f>
        <v>491522.11933098955</v>
      </c>
      <c r="S81" s="2" t="s">
        <v>28</v>
      </c>
      <c r="T81" s="23">
        <f t="shared" ref="T81:AE81" si="197">T8*5.5%</f>
        <v>32647.64184</v>
      </c>
      <c r="U81" s="23">
        <f t="shared" si="197"/>
        <v>37200.123180000002</v>
      </c>
      <c r="V81" s="23">
        <f t="shared" si="197"/>
        <v>40767.983590909091</v>
      </c>
      <c r="W81" s="23">
        <f t="shared" si="197"/>
        <v>33284.674169999998</v>
      </c>
      <c r="X81" s="23">
        <f t="shared" si="197"/>
        <v>46994.097645000002</v>
      </c>
      <c r="Y81" s="23">
        <f t="shared" si="197"/>
        <v>65742.246404999998</v>
      </c>
      <c r="Z81" s="23">
        <f t="shared" si="197"/>
        <v>50104.147846499996</v>
      </c>
      <c r="AA81" s="23">
        <f t="shared" si="197"/>
        <v>61675.675523550002</v>
      </c>
      <c r="AB81" s="23">
        <f t="shared" si="197"/>
        <v>71022.717810000002</v>
      </c>
      <c r="AC81" s="23">
        <f t="shared" si="197"/>
        <v>125955.30766499997</v>
      </c>
      <c r="AD81" s="23">
        <f t="shared" si="197"/>
        <v>89795.825537674013</v>
      </c>
      <c r="AE81" s="23">
        <f t="shared" si="197"/>
        <v>180397.16164904923</v>
      </c>
      <c r="AF81" s="23">
        <f>SUM(T81:AE81)</f>
        <v>835587.60286268231</v>
      </c>
      <c r="AH81" s="2" t="s">
        <v>28</v>
      </c>
      <c r="AI81" s="23">
        <f t="shared" ref="AI81:AT81" si="198">AI8*5.5%</f>
        <v>55500.991128000001</v>
      </c>
      <c r="AJ81" s="23">
        <f t="shared" si="198"/>
        <v>63240.209405999994</v>
      </c>
      <c r="AK81" s="23">
        <f t="shared" si="198"/>
        <v>69305.572104545456</v>
      </c>
      <c r="AL81" s="23">
        <f t="shared" si="198"/>
        <v>56583.946088999997</v>
      </c>
      <c r="AM81" s="23">
        <f t="shared" si="198"/>
        <v>79889.965996500003</v>
      </c>
      <c r="AN81" s="23">
        <f t="shared" si="198"/>
        <v>111761.8188885</v>
      </c>
      <c r="AO81" s="23">
        <f t="shared" si="198"/>
        <v>85177.051339049984</v>
      </c>
      <c r="AP81" s="23">
        <f t="shared" si="198"/>
        <v>104848.648390035</v>
      </c>
      <c r="AQ81" s="23">
        <f t="shared" si="198"/>
        <v>120738.62027700001</v>
      </c>
      <c r="AR81" s="23">
        <f t="shared" si="198"/>
        <v>214124.02303049996</v>
      </c>
      <c r="AS81" s="23">
        <f t="shared" si="198"/>
        <v>152652.90341404581</v>
      </c>
      <c r="AT81" s="23">
        <f t="shared" si="198"/>
        <v>306675.17480338371</v>
      </c>
      <c r="AU81" s="23">
        <f>SUM(AI81:AT81)</f>
        <v>1420498.9248665599</v>
      </c>
    </row>
    <row r="82" spans="1:51" x14ac:dyDescent="0.2">
      <c r="A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S82" s="2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H82" s="2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1:51" x14ac:dyDescent="0.2">
      <c r="A83" s="23"/>
      <c r="C83" s="107" t="s">
        <v>78</v>
      </c>
      <c r="E83" s="108">
        <f>Ventas!S48*Ventas!S19</f>
        <v>3.4499999999999997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S83" s="1" t="s">
        <v>78</v>
      </c>
      <c r="T83" s="108">
        <f>E83*Ventas!AH19</f>
        <v>3.7949999999999999</v>
      </c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H83" s="1" t="s">
        <v>78</v>
      </c>
      <c r="AI83" s="108">
        <f>T83*Ventas!AW19</f>
        <v>4.1745000000000001</v>
      </c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1:51" x14ac:dyDescent="0.2"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51" x14ac:dyDescent="0.2"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51" x14ac:dyDescent="0.2">
      <c r="C86" s="103" t="s">
        <v>29</v>
      </c>
      <c r="D86" s="105">
        <v>0</v>
      </c>
      <c r="E86" s="105">
        <v>1</v>
      </c>
      <c r="F86" s="105">
        <v>2</v>
      </c>
      <c r="G86" s="105">
        <v>3</v>
      </c>
      <c r="H86" s="105">
        <v>4</v>
      </c>
      <c r="I86" s="105">
        <v>5</v>
      </c>
      <c r="J86" s="105">
        <v>6</v>
      </c>
      <c r="K86" s="105">
        <v>7</v>
      </c>
      <c r="L86" s="105">
        <v>8</v>
      </c>
      <c r="M86" s="105">
        <v>9</v>
      </c>
      <c r="N86" s="105">
        <v>10</v>
      </c>
      <c r="O86" s="105">
        <v>11</v>
      </c>
      <c r="P86" s="105">
        <v>12</v>
      </c>
      <c r="Q86" s="106" t="s">
        <v>79</v>
      </c>
      <c r="S86" s="103"/>
      <c r="T86" s="105">
        <v>13</v>
      </c>
      <c r="U86" s="105">
        <v>14</v>
      </c>
      <c r="V86" s="105">
        <v>15</v>
      </c>
      <c r="W86" s="105">
        <v>16</v>
      </c>
      <c r="X86" s="105">
        <v>17</v>
      </c>
      <c r="Y86" s="105">
        <v>18</v>
      </c>
      <c r="Z86" s="105">
        <v>19</v>
      </c>
      <c r="AA86" s="105">
        <v>20</v>
      </c>
      <c r="AB86" s="105">
        <v>21</v>
      </c>
      <c r="AC86" s="105">
        <v>22</v>
      </c>
      <c r="AD86" s="105">
        <v>23</v>
      </c>
      <c r="AE86" s="105">
        <v>24</v>
      </c>
      <c r="AF86" s="106" t="s">
        <v>80</v>
      </c>
      <c r="AH86" s="109"/>
      <c r="AI86" s="105">
        <v>25</v>
      </c>
      <c r="AJ86" s="105">
        <v>26</v>
      </c>
      <c r="AK86" s="105">
        <v>27</v>
      </c>
      <c r="AL86" s="105">
        <v>28</v>
      </c>
      <c r="AM86" s="105">
        <v>29</v>
      </c>
      <c r="AN86" s="105">
        <v>30</v>
      </c>
      <c r="AO86" s="105">
        <v>31</v>
      </c>
      <c r="AP86" s="105">
        <v>32</v>
      </c>
      <c r="AQ86" s="105">
        <v>33</v>
      </c>
      <c r="AR86" s="105">
        <v>34</v>
      </c>
      <c r="AS86" s="105">
        <v>35</v>
      </c>
      <c r="AT86" s="105">
        <v>36</v>
      </c>
      <c r="AU86" s="106" t="s">
        <v>81</v>
      </c>
    </row>
    <row r="87" spans="1:51" ht="15.75" x14ac:dyDescent="0.25">
      <c r="B87" s="110">
        <f>Q7</f>
        <v>12265394.063035745</v>
      </c>
      <c r="C87" s="6" t="s">
        <v>30</v>
      </c>
      <c r="D87" s="23">
        <f>SUM(D88:D93)</f>
        <v>0</v>
      </c>
      <c r="E87" s="23">
        <f>SUM(E88:E93)</f>
        <v>42808.333333333336</v>
      </c>
      <c r="F87" s="23">
        <f t="shared" ref="F87:P87" si="199">SUM(F88:F93)</f>
        <v>42808.333333333336</v>
      </c>
      <c r="G87" s="23">
        <f t="shared" si="199"/>
        <v>42808.333333333336</v>
      </c>
      <c r="H87" s="23">
        <f t="shared" si="199"/>
        <v>42808.333333333336</v>
      </c>
      <c r="I87" s="23">
        <f t="shared" si="199"/>
        <v>42808.333333333336</v>
      </c>
      <c r="J87" s="23">
        <f t="shared" si="199"/>
        <v>42808.333333333336</v>
      </c>
      <c r="K87" s="23">
        <f t="shared" si="199"/>
        <v>43808.333333333336</v>
      </c>
      <c r="L87" s="23">
        <f t="shared" si="199"/>
        <v>43808.333333333336</v>
      </c>
      <c r="M87" s="23">
        <f t="shared" si="199"/>
        <v>43808.333333333336</v>
      </c>
      <c r="N87" s="23">
        <f t="shared" si="199"/>
        <v>43808.333333333336</v>
      </c>
      <c r="O87" s="23">
        <f t="shared" si="199"/>
        <v>43808.333333333336</v>
      </c>
      <c r="P87" s="23">
        <f t="shared" si="199"/>
        <v>43808.333333333336</v>
      </c>
      <c r="Q87" s="23">
        <f>SUM(E87:P87)</f>
        <v>519699.99999999994</v>
      </c>
      <c r="R87" s="110">
        <f>AF7</f>
        <v>19410274.923802335</v>
      </c>
      <c r="S87" s="7" t="s">
        <v>30</v>
      </c>
      <c r="T87" s="23">
        <f>SUM(T88:T93)</f>
        <v>90391.083333333328</v>
      </c>
      <c r="U87" s="23">
        <f t="shared" ref="U87:AE87" si="200">SUM(U88:U93)</f>
        <v>90391.083333333328</v>
      </c>
      <c r="V87" s="23">
        <f t="shared" si="200"/>
        <v>90391.083333333328</v>
      </c>
      <c r="W87" s="23">
        <f t="shared" si="200"/>
        <v>90391.083333333328</v>
      </c>
      <c r="X87" s="23">
        <f t="shared" si="200"/>
        <v>90391.083333333328</v>
      </c>
      <c r="Y87" s="23">
        <f t="shared" si="200"/>
        <v>90391.083333333328</v>
      </c>
      <c r="Z87" s="23">
        <f t="shared" si="200"/>
        <v>92391.083333333328</v>
      </c>
      <c r="AA87" s="23">
        <f t="shared" si="200"/>
        <v>92391.083333333328</v>
      </c>
      <c r="AB87" s="23">
        <f t="shared" si="200"/>
        <v>92391.083333333328</v>
      </c>
      <c r="AC87" s="23">
        <f t="shared" si="200"/>
        <v>92391.083333333328</v>
      </c>
      <c r="AD87" s="23">
        <f t="shared" si="200"/>
        <v>92391.083333333328</v>
      </c>
      <c r="AE87" s="23">
        <f t="shared" si="200"/>
        <v>92391.083333333328</v>
      </c>
      <c r="AF87" s="23">
        <f>SUM(T87:AE87)</f>
        <v>1096693.0000000002</v>
      </c>
      <c r="AG87" s="110">
        <f>AU7</f>
        <v>31268393.390433859</v>
      </c>
      <c r="AH87" s="7" t="s">
        <v>30</v>
      </c>
      <c r="AI87" s="23">
        <f>SUM(AI88:AI93)</f>
        <v>145957.31083333332</v>
      </c>
      <c r="AJ87" s="23">
        <f t="shared" ref="AJ87:AT87" si="201">SUM(AJ88:AJ93)</f>
        <v>145957.31083333332</v>
      </c>
      <c r="AK87" s="23">
        <f t="shared" si="201"/>
        <v>145957.31083333332</v>
      </c>
      <c r="AL87" s="23">
        <f t="shared" si="201"/>
        <v>145957.31083333332</v>
      </c>
      <c r="AM87" s="23">
        <f t="shared" si="201"/>
        <v>145957.31083333332</v>
      </c>
      <c r="AN87" s="23">
        <f t="shared" si="201"/>
        <v>145957.31083333332</v>
      </c>
      <c r="AO87" s="23">
        <f t="shared" si="201"/>
        <v>146757.31083333332</v>
      </c>
      <c r="AP87" s="23">
        <f t="shared" si="201"/>
        <v>146757.31083333332</v>
      </c>
      <c r="AQ87" s="23">
        <f t="shared" si="201"/>
        <v>146757.31083333332</v>
      </c>
      <c r="AR87" s="23">
        <f t="shared" si="201"/>
        <v>146757.31083333332</v>
      </c>
      <c r="AS87" s="23">
        <f t="shared" si="201"/>
        <v>146757.31083333332</v>
      </c>
      <c r="AT87" s="23">
        <f t="shared" si="201"/>
        <v>146757.31083333332</v>
      </c>
      <c r="AU87" s="23">
        <f>SUM(AI87:AT87)</f>
        <v>1756287.7299999997</v>
      </c>
      <c r="AX87" s="25">
        <f>+AF87/Q87-1</f>
        <v>1.1102424475659043</v>
      </c>
      <c r="AY87" s="25">
        <f>+AU87/AF87-1</f>
        <v>0.60143971922862582</v>
      </c>
    </row>
    <row r="88" spans="1:51" x14ac:dyDescent="0.2">
      <c r="B88" s="110">
        <f>Q87</f>
        <v>519699.99999999994</v>
      </c>
      <c r="C88" s="1" t="s">
        <v>31</v>
      </c>
      <c r="D88" s="23">
        <v>0</v>
      </c>
      <c r="E88" s="23">
        <f>(900*10%)*ASP!$D$16</f>
        <v>1800</v>
      </c>
      <c r="F88" s="23">
        <f>(900*10%)*ASP!$D$16</f>
        <v>1800</v>
      </c>
      <c r="G88" s="23">
        <f>(900*10%)*ASP!$D$16</f>
        <v>1800</v>
      </c>
      <c r="H88" s="23">
        <f>(900*10%)*ASP!$D$16</f>
        <v>1800</v>
      </c>
      <c r="I88" s="23">
        <f>(900*10%)*ASP!$D$16</f>
        <v>1800</v>
      </c>
      <c r="J88" s="23">
        <f>(900*10%)*ASP!$D$16</f>
        <v>1800</v>
      </c>
      <c r="K88" s="23">
        <f>(900*10%)*ASP!$D$16</f>
        <v>1800</v>
      </c>
      <c r="L88" s="23">
        <f>(900*10%)*ASP!$D$16</f>
        <v>1800</v>
      </c>
      <c r="M88" s="23">
        <f>(900*10%)*ASP!$D$16</f>
        <v>1800</v>
      </c>
      <c r="N88" s="23">
        <f>(900*10%)*ASP!$D$16</f>
        <v>1800</v>
      </c>
      <c r="O88" s="23">
        <f>(900*10%)*ASP!$D$16</f>
        <v>1800</v>
      </c>
      <c r="P88" s="23">
        <f>(900*10%)*ASP!$D$16</f>
        <v>1800</v>
      </c>
      <c r="Q88" s="23">
        <f t="shared" ref="Q88:Q93" si="202">SUM(E88:P88)</f>
        <v>21600</v>
      </c>
      <c r="R88" s="110">
        <f>AF87</f>
        <v>1096693.0000000002</v>
      </c>
      <c r="S88" s="1" t="s">
        <v>31</v>
      </c>
      <c r="T88" s="23">
        <f>(1000*10%)*ASP!$E$16</f>
        <v>2100</v>
      </c>
      <c r="U88" s="23">
        <f>(1000*10%)*ASP!$E$16</f>
        <v>2100</v>
      </c>
      <c r="V88" s="23">
        <f>(1000*10%)*ASP!$E$16</f>
        <v>2100</v>
      </c>
      <c r="W88" s="23">
        <f>(1000*10%)*ASP!$E$16</f>
        <v>2100</v>
      </c>
      <c r="X88" s="23">
        <f>(1000*10%)*ASP!$E$16</f>
        <v>2100</v>
      </c>
      <c r="Y88" s="23">
        <f>(1000*10%)*ASP!$E$16</f>
        <v>2100</v>
      </c>
      <c r="Z88" s="23">
        <f>(1000*10%)*ASP!$E$16</f>
        <v>2100</v>
      </c>
      <c r="AA88" s="23">
        <f>(1000*10%)*ASP!$E$16</f>
        <v>2100</v>
      </c>
      <c r="AB88" s="23">
        <f>(1000*10%)*ASP!$E$16</f>
        <v>2100</v>
      </c>
      <c r="AC88" s="23">
        <f>(1000*10%)*ASP!$E$16</f>
        <v>2100</v>
      </c>
      <c r="AD88" s="23">
        <f>(1000*10%)*ASP!$E$16</f>
        <v>2100</v>
      </c>
      <c r="AE88" s="23">
        <f>(1000*10%)*ASP!$E$16</f>
        <v>2100</v>
      </c>
      <c r="AF88" s="23">
        <f t="shared" ref="AF88:AF93" si="203">SUM(T88:AE88)</f>
        <v>25200</v>
      </c>
      <c r="AG88" s="110">
        <f>AU87</f>
        <v>1756287.7299999997</v>
      </c>
      <c r="AH88" s="1" t="s">
        <v>31</v>
      </c>
      <c r="AI88" s="23">
        <f>(1000*10%)*ASP!$F$16</f>
        <v>2100</v>
      </c>
      <c r="AJ88" s="23">
        <f>(1000*10%)*ASP!$F$16</f>
        <v>2100</v>
      </c>
      <c r="AK88" s="23">
        <f>(1000*10%)*ASP!$F$16</f>
        <v>2100</v>
      </c>
      <c r="AL88" s="23">
        <f>(1000*10%)*ASP!$F$16</f>
        <v>2100</v>
      </c>
      <c r="AM88" s="23">
        <f>(1000*10%)*ASP!$F$16</f>
        <v>2100</v>
      </c>
      <c r="AN88" s="23">
        <f>(1000*10%)*ASP!$F$16</f>
        <v>2100</v>
      </c>
      <c r="AO88" s="23">
        <f>(1000*10%)*ASP!$F$16</f>
        <v>2100</v>
      </c>
      <c r="AP88" s="23">
        <f>(1000*10%)*ASP!$F$16</f>
        <v>2100</v>
      </c>
      <c r="AQ88" s="23">
        <f>(1000*10%)*ASP!$F$16</f>
        <v>2100</v>
      </c>
      <c r="AR88" s="23">
        <f>(1000*10%)*ASP!$F$16</f>
        <v>2100</v>
      </c>
      <c r="AS88" s="23">
        <f>(1000*10%)*ASP!$F$16</f>
        <v>2100</v>
      </c>
      <c r="AT88" s="23">
        <f>(1000*10%)*ASP!$F$16</f>
        <v>2100</v>
      </c>
      <c r="AU88" s="23">
        <f t="shared" ref="AU88:AU93" si="204">SUM(AI88:AT88)</f>
        <v>25200</v>
      </c>
    </row>
    <row r="89" spans="1:51" x14ac:dyDescent="0.2">
      <c r="B89" s="111">
        <f>B88/B87</f>
        <v>4.2371243624876383E-2</v>
      </c>
      <c r="C89" s="1" t="s">
        <v>109</v>
      </c>
      <c r="D89" s="23">
        <v>0</v>
      </c>
      <c r="E89" s="23">
        <f>(40*ASP!$D$16)</f>
        <v>800</v>
      </c>
      <c r="F89" s="23">
        <f>(40*ASP!$D$16)</f>
        <v>800</v>
      </c>
      <c r="G89" s="23">
        <f>(40*ASP!$D$16)</f>
        <v>800</v>
      </c>
      <c r="H89" s="23">
        <f>(40*ASP!$D$16)</f>
        <v>800</v>
      </c>
      <c r="I89" s="23">
        <f>(40*ASP!$D$16)</f>
        <v>800</v>
      </c>
      <c r="J89" s="23">
        <f>(40*ASP!$D$16)</f>
        <v>800</v>
      </c>
      <c r="K89" s="23">
        <f>(40*ASP!$D$16)</f>
        <v>800</v>
      </c>
      <c r="L89" s="23">
        <f>(40*ASP!$D$16)</f>
        <v>800</v>
      </c>
      <c r="M89" s="23">
        <f>(40*ASP!$D$16)</f>
        <v>800</v>
      </c>
      <c r="N89" s="23">
        <f>(40*ASP!$D$16)</f>
        <v>800</v>
      </c>
      <c r="O89" s="23">
        <f>(40*ASP!$D$16)</f>
        <v>800</v>
      </c>
      <c r="P89" s="23">
        <f>(40*ASP!$D$16)</f>
        <v>800</v>
      </c>
      <c r="Q89" s="23">
        <f t="shared" si="202"/>
        <v>9600</v>
      </c>
      <c r="R89" s="111">
        <f>R88/R87</f>
        <v>5.6500642278649697E-2</v>
      </c>
      <c r="S89" s="1" t="s">
        <v>109</v>
      </c>
      <c r="T89" s="23">
        <f>(40*ASP!$E$16)*(1+100%)</f>
        <v>1680</v>
      </c>
      <c r="U89" s="23">
        <f>(40*ASP!$E$16)*(1+100%)</f>
        <v>1680</v>
      </c>
      <c r="V89" s="23">
        <f>(40*ASP!$E$16)*(1+100%)</f>
        <v>1680</v>
      </c>
      <c r="W89" s="23">
        <f>(40*ASP!$E$16)*(1+100%)</f>
        <v>1680</v>
      </c>
      <c r="X89" s="23">
        <f>(40*ASP!$E$16)*(1+100%)</f>
        <v>1680</v>
      </c>
      <c r="Y89" s="23">
        <f>(40*ASP!$E$16)*(1+100%)</f>
        <v>1680</v>
      </c>
      <c r="Z89" s="23">
        <f>(40*ASP!$E$16)*(1+100%)</f>
        <v>1680</v>
      </c>
      <c r="AA89" s="23">
        <f>(40*ASP!$E$16)*(1+100%)</f>
        <v>1680</v>
      </c>
      <c r="AB89" s="23">
        <f>(40*ASP!$E$16)*(1+100%)</f>
        <v>1680</v>
      </c>
      <c r="AC89" s="23">
        <f>(40*ASP!$E$16)*(1+100%)</f>
        <v>1680</v>
      </c>
      <c r="AD89" s="23">
        <f>(40*ASP!$E$16)*(1+100%)</f>
        <v>1680</v>
      </c>
      <c r="AE89" s="23">
        <f>(40*ASP!$E$16)*(1+100%)</f>
        <v>1680</v>
      </c>
      <c r="AF89" s="23">
        <f t="shared" si="203"/>
        <v>20160</v>
      </c>
      <c r="AG89" s="111">
        <f>AG88/AG87</f>
        <v>5.6168147434697176E-2</v>
      </c>
      <c r="AH89" s="1" t="s">
        <v>109</v>
      </c>
      <c r="AI89" s="23">
        <f>(40*ASP!$F$16)*(1+100%)</f>
        <v>1680</v>
      </c>
      <c r="AJ89" s="23">
        <f>(40*ASP!$F$16)*(1+100%)</f>
        <v>1680</v>
      </c>
      <c r="AK89" s="23">
        <f>(40*ASP!$F$16)*(1+100%)</f>
        <v>1680</v>
      </c>
      <c r="AL89" s="23">
        <f>(40*ASP!$F$16)*(1+100%)</f>
        <v>1680</v>
      </c>
      <c r="AM89" s="23">
        <f>(40*ASP!$F$16)*(1+100%)</f>
        <v>1680</v>
      </c>
      <c r="AN89" s="23">
        <f>(40*ASP!$F$16)*(1+100%)</f>
        <v>1680</v>
      </c>
      <c r="AO89" s="23">
        <f>(40*ASP!$F$16)*(1+100%)</f>
        <v>1680</v>
      </c>
      <c r="AP89" s="23">
        <f>(40*ASP!$F$16)*(1+100%)</f>
        <v>1680</v>
      </c>
      <c r="AQ89" s="23">
        <f>(40*ASP!$F$16)*(1+100%)</f>
        <v>1680</v>
      </c>
      <c r="AR89" s="23">
        <f>(40*ASP!$F$16)*(1+100%)</f>
        <v>1680</v>
      </c>
      <c r="AS89" s="23">
        <f>(40*ASP!$F$16)*(1+100%)</f>
        <v>1680</v>
      </c>
      <c r="AT89" s="23">
        <f>(40*ASP!$F$16)*(1+100%)</f>
        <v>1680</v>
      </c>
      <c r="AU89" s="23">
        <f t="shared" si="204"/>
        <v>20160</v>
      </c>
    </row>
    <row r="90" spans="1:51" x14ac:dyDescent="0.2">
      <c r="B90" s="112"/>
      <c r="C90" s="1" t="s">
        <v>110</v>
      </c>
      <c r="D90" s="23">
        <v>0</v>
      </c>
      <c r="E90" s="23">
        <f>(600*ASP!$D$16)</f>
        <v>12000</v>
      </c>
      <c r="F90" s="23">
        <f>(600*ASP!$D$16)</f>
        <v>12000</v>
      </c>
      <c r="G90" s="23">
        <f>(600*ASP!$D$16)</f>
        <v>12000</v>
      </c>
      <c r="H90" s="23">
        <f>(600*ASP!$D$16)</f>
        <v>12000</v>
      </c>
      <c r="I90" s="23">
        <f>(600*ASP!$D$16)</f>
        <v>12000</v>
      </c>
      <c r="J90" s="23">
        <f>(600*ASP!$D$16)</f>
        <v>12000</v>
      </c>
      <c r="K90" s="23">
        <f>(650*ASP!$D$16)</f>
        <v>13000</v>
      </c>
      <c r="L90" s="23">
        <f>(650*ASP!$D$16)</f>
        <v>13000</v>
      </c>
      <c r="M90" s="23">
        <f>(650*ASP!$D$16)</f>
        <v>13000</v>
      </c>
      <c r="N90" s="23">
        <f>(650*ASP!$D$16)</f>
        <v>13000</v>
      </c>
      <c r="O90" s="23">
        <f>(650*ASP!$D$16)</f>
        <v>13000</v>
      </c>
      <c r="P90" s="23">
        <f>(650*ASP!$D$16)</f>
        <v>13000</v>
      </c>
      <c r="Q90" s="23">
        <f t="shared" si="202"/>
        <v>150000</v>
      </c>
      <c r="R90" s="112"/>
      <c r="S90" s="1" t="s">
        <v>110</v>
      </c>
      <c r="T90" s="23">
        <f>(E90)*(1+100%)</f>
        <v>24000</v>
      </c>
      <c r="U90" s="23">
        <f t="shared" ref="U90:AE90" si="205">(F90)*(1+100%)</f>
        <v>24000</v>
      </c>
      <c r="V90" s="23">
        <f t="shared" si="205"/>
        <v>24000</v>
      </c>
      <c r="W90" s="23">
        <f t="shared" si="205"/>
        <v>24000</v>
      </c>
      <c r="X90" s="23">
        <f t="shared" si="205"/>
        <v>24000</v>
      </c>
      <c r="Y90" s="23">
        <f t="shared" si="205"/>
        <v>24000</v>
      </c>
      <c r="Z90" s="23">
        <f t="shared" si="205"/>
        <v>26000</v>
      </c>
      <c r="AA90" s="23">
        <f t="shared" si="205"/>
        <v>26000</v>
      </c>
      <c r="AB90" s="23">
        <f t="shared" si="205"/>
        <v>26000</v>
      </c>
      <c r="AC90" s="23">
        <f t="shared" si="205"/>
        <v>26000</v>
      </c>
      <c r="AD90" s="23">
        <f t="shared" si="205"/>
        <v>26000</v>
      </c>
      <c r="AE90" s="23">
        <f t="shared" si="205"/>
        <v>26000</v>
      </c>
      <c r="AF90" s="23">
        <f t="shared" si="203"/>
        <v>300000</v>
      </c>
      <c r="AH90" s="1" t="s">
        <v>110</v>
      </c>
      <c r="AI90" s="23">
        <f>(T90)*(1+70%)</f>
        <v>40800</v>
      </c>
      <c r="AJ90" s="23">
        <f t="shared" ref="AJ90:AN90" si="206">(U90)*(1+70%)</f>
        <v>40800</v>
      </c>
      <c r="AK90" s="23">
        <f t="shared" si="206"/>
        <v>40800</v>
      </c>
      <c r="AL90" s="23">
        <f t="shared" si="206"/>
        <v>40800</v>
      </c>
      <c r="AM90" s="23">
        <f t="shared" si="206"/>
        <v>40800</v>
      </c>
      <c r="AN90" s="23">
        <f t="shared" si="206"/>
        <v>40800</v>
      </c>
      <c r="AO90" s="23">
        <f>Z90*(1+60%)</f>
        <v>41600</v>
      </c>
      <c r="AP90" s="23">
        <f t="shared" ref="AP90:AT90" si="207">AA90*(1+60%)</f>
        <v>41600</v>
      </c>
      <c r="AQ90" s="23">
        <f t="shared" si="207"/>
        <v>41600</v>
      </c>
      <c r="AR90" s="23">
        <f t="shared" si="207"/>
        <v>41600</v>
      </c>
      <c r="AS90" s="23">
        <f t="shared" si="207"/>
        <v>41600</v>
      </c>
      <c r="AT90" s="23">
        <f t="shared" si="207"/>
        <v>41600</v>
      </c>
      <c r="AU90" s="23">
        <f t="shared" si="204"/>
        <v>494400</v>
      </c>
    </row>
    <row r="91" spans="1:51" x14ac:dyDescent="0.2">
      <c r="B91" s="112"/>
      <c r="C91" s="1" t="s">
        <v>111</v>
      </c>
      <c r="D91" s="23">
        <v>0</v>
      </c>
      <c r="E91" s="23">
        <f>(150*ASP!$D$16)</f>
        <v>3000</v>
      </c>
      <c r="F91" s="23">
        <f>(150*ASP!$D$16)</f>
        <v>3000</v>
      </c>
      <c r="G91" s="23">
        <f>(150*ASP!$D$16)</f>
        <v>3000</v>
      </c>
      <c r="H91" s="23">
        <f>(150*ASP!$D$16)</f>
        <v>3000</v>
      </c>
      <c r="I91" s="23">
        <f>(150*ASP!$D$16)</f>
        <v>3000</v>
      </c>
      <c r="J91" s="23">
        <f>(150*ASP!$D$16)</f>
        <v>3000</v>
      </c>
      <c r="K91" s="23">
        <f>(150*ASP!$D$16)</f>
        <v>3000</v>
      </c>
      <c r="L91" s="23">
        <f>(150*ASP!$D$16)</f>
        <v>3000</v>
      </c>
      <c r="M91" s="23">
        <f>(150*ASP!$D$16)</f>
        <v>3000</v>
      </c>
      <c r="N91" s="23">
        <f>(150*ASP!$D$16)</f>
        <v>3000</v>
      </c>
      <c r="O91" s="23">
        <f>(150*ASP!$D$16)</f>
        <v>3000</v>
      </c>
      <c r="P91" s="23">
        <f>(150*ASP!$D$16)</f>
        <v>3000</v>
      </c>
      <c r="Q91" s="23">
        <f t="shared" si="202"/>
        <v>36000</v>
      </c>
      <c r="R91" s="112"/>
      <c r="S91" s="1" t="s">
        <v>111</v>
      </c>
      <c r="T91" s="23">
        <f t="shared" ref="T91" si="208">(E91)*(1+285%)</f>
        <v>11550</v>
      </c>
      <c r="U91" s="23">
        <f t="shared" ref="U91" si="209">(F91)*(1+285%)</f>
        <v>11550</v>
      </c>
      <c r="V91" s="23">
        <f t="shared" ref="V91" si="210">(G91)*(1+285%)</f>
        <v>11550</v>
      </c>
      <c r="W91" s="23">
        <f t="shared" ref="W91" si="211">(H91)*(1+285%)</f>
        <v>11550</v>
      </c>
      <c r="X91" s="23">
        <f t="shared" ref="X91" si="212">(I91)*(1+285%)</f>
        <v>11550</v>
      </c>
      <c r="Y91" s="23">
        <f t="shared" ref="Y91" si="213">(J91)*(1+285%)</f>
        <v>11550</v>
      </c>
      <c r="Z91" s="23">
        <f t="shared" ref="Z91" si="214">(K91)*(1+285%)</f>
        <v>11550</v>
      </c>
      <c r="AA91" s="23">
        <f t="shared" ref="AA91" si="215">(L91)*(1+285%)</f>
        <v>11550</v>
      </c>
      <c r="AB91" s="23">
        <f t="shared" ref="AB91" si="216">(M91)*(1+285%)</f>
        <v>11550</v>
      </c>
      <c r="AC91" s="23">
        <f t="shared" ref="AC91" si="217">(N91)*(1+285%)</f>
        <v>11550</v>
      </c>
      <c r="AD91" s="23">
        <f t="shared" ref="AD91" si="218">(O91)*(1+285%)</f>
        <v>11550</v>
      </c>
      <c r="AE91" s="23">
        <f t="shared" ref="AE91" si="219">(P91)*(1+285%)</f>
        <v>11550</v>
      </c>
      <c r="AF91" s="23">
        <f t="shared" si="203"/>
        <v>138600</v>
      </c>
      <c r="AH91" s="1" t="s">
        <v>111</v>
      </c>
      <c r="AI91" s="23">
        <f>(T91)*(1+100%)</f>
        <v>23100</v>
      </c>
      <c r="AJ91" s="23">
        <f t="shared" ref="AJ91:AT91" si="220">(U91)*(1+100%)</f>
        <v>23100</v>
      </c>
      <c r="AK91" s="23">
        <f t="shared" si="220"/>
        <v>23100</v>
      </c>
      <c r="AL91" s="23">
        <f t="shared" si="220"/>
        <v>23100</v>
      </c>
      <c r="AM91" s="23">
        <f t="shared" si="220"/>
        <v>23100</v>
      </c>
      <c r="AN91" s="23">
        <f t="shared" si="220"/>
        <v>23100</v>
      </c>
      <c r="AO91" s="23">
        <f t="shared" si="220"/>
        <v>23100</v>
      </c>
      <c r="AP91" s="23">
        <f t="shared" si="220"/>
        <v>23100</v>
      </c>
      <c r="AQ91" s="23">
        <f t="shared" si="220"/>
        <v>23100</v>
      </c>
      <c r="AR91" s="23">
        <f t="shared" si="220"/>
        <v>23100</v>
      </c>
      <c r="AS91" s="23">
        <f t="shared" si="220"/>
        <v>23100</v>
      </c>
      <c r="AT91" s="23">
        <f t="shared" si="220"/>
        <v>23100</v>
      </c>
      <c r="AU91" s="23">
        <f t="shared" si="204"/>
        <v>277200</v>
      </c>
    </row>
    <row r="92" spans="1:51" x14ac:dyDescent="0.2">
      <c r="C92" s="1" t="s">
        <v>112</v>
      </c>
      <c r="D92" s="23">
        <v>0</v>
      </c>
      <c r="E92" s="23">
        <f>Ventas!$S$49*(1+131%)</f>
        <v>23100</v>
      </c>
      <c r="F92" s="23">
        <f>Ventas!$S$49*(1+131%)</f>
        <v>23100</v>
      </c>
      <c r="G92" s="23">
        <f>Ventas!$S$49*(1+131%)</f>
        <v>23100</v>
      </c>
      <c r="H92" s="23">
        <f>Ventas!$S$49*(1+131%)</f>
        <v>23100</v>
      </c>
      <c r="I92" s="23">
        <f>Ventas!$S$49*(1+131%)</f>
        <v>23100</v>
      </c>
      <c r="J92" s="23">
        <f>Ventas!$S$49*(1+131%)</f>
        <v>23100</v>
      </c>
      <c r="K92" s="23">
        <f>Ventas!$S$49*(1+131%)</f>
        <v>23100</v>
      </c>
      <c r="L92" s="23">
        <f>Ventas!$S$49*(1+131%)</f>
        <v>23100</v>
      </c>
      <c r="M92" s="23">
        <f>Ventas!$S$49*(1+131%)</f>
        <v>23100</v>
      </c>
      <c r="N92" s="23">
        <f>Ventas!$S$49*(1+131%)</f>
        <v>23100</v>
      </c>
      <c r="O92" s="23">
        <f>Ventas!$S$49*(1+131%)</f>
        <v>23100</v>
      </c>
      <c r="P92" s="23">
        <f>Ventas!$S$49*(1+131%)</f>
        <v>23100</v>
      </c>
      <c r="Q92" s="23">
        <f t="shared" si="202"/>
        <v>277200</v>
      </c>
      <c r="R92" s="28"/>
      <c r="S92" s="1" t="s">
        <v>112</v>
      </c>
      <c r="T92" s="23">
        <f>(E92)*(1+110%)</f>
        <v>48510</v>
      </c>
      <c r="U92" s="23">
        <f t="shared" ref="U92:AE92" si="221">(F92)*(1+110%)</f>
        <v>48510</v>
      </c>
      <c r="V92" s="23">
        <f t="shared" si="221"/>
        <v>48510</v>
      </c>
      <c r="W92" s="23">
        <f t="shared" si="221"/>
        <v>48510</v>
      </c>
      <c r="X92" s="23">
        <f t="shared" si="221"/>
        <v>48510</v>
      </c>
      <c r="Y92" s="23">
        <f t="shared" si="221"/>
        <v>48510</v>
      </c>
      <c r="Z92" s="23">
        <f t="shared" si="221"/>
        <v>48510</v>
      </c>
      <c r="AA92" s="23">
        <f t="shared" si="221"/>
        <v>48510</v>
      </c>
      <c r="AB92" s="23">
        <f t="shared" si="221"/>
        <v>48510</v>
      </c>
      <c r="AC92" s="23">
        <f t="shared" si="221"/>
        <v>48510</v>
      </c>
      <c r="AD92" s="23">
        <f t="shared" si="221"/>
        <v>48510</v>
      </c>
      <c r="AE92" s="23">
        <f t="shared" si="221"/>
        <v>48510</v>
      </c>
      <c r="AF92" s="23">
        <f t="shared" si="203"/>
        <v>582120</v>
      </c>
      <c r="AG92" s="28"/>
      <c r="AH92" s="1" t="s">
        <v>112</v>
      </c>
      <c r="AI92" s="23">
        <f>(T92)*(1+55%)</f>
        <v>75190.5</v>
      </c>
      <c r="AJ92" s="23">
        <f t="shared" ref="AJ92:AT92" si="222">(U92)*(1+55%)</f>
        <v>75190.5</v>
      </c>
      <c r="AK92" s="23">
        <f t="shared" si="222"/>
        <v>75190.5</v>
      </c>
      <c r="AL92" s="23">
        <f t="shared" si="222"/>
        <v>75190.5</v>
      </c>
      <c r="AM92" s="23">
        <f t="shared" si="222"/>
        <v>75190.5</v>
      </c>
      <c r="AN92" s="23">
        <f t="shared" si="222"/>
        <v>75190.5</v>
      </c>
      <c r="AO92" s="23">
        <f t="shared" si="222"/>
        <v>75190.5</v>
      </c>
      <c r="AP92" s="23">
        <f t="shared" si="222"/>
        <v>75190.5</v>
      </c>
      <c r="AQ92" s="23">
        <f t="shared" si="222"/>
        <v>75190.5</v>
      </c>
      <c r="AR92" s="23">
        <f t="shared" si="222"/>
        <v>75190.5</v>
      </c>
      <c r="AS92" s="23">
        <f t="shared" si="222"/>
        <v>75190.5</v>
      </c>
      <c r="AT92" s="23">
        <f t="shared" si="222"/>
        <v>75190.5</v>
      </c>
      <c r="AU92" s="23">
        <f t="shared" si="204"/>
        <v>902286</v>
      </c>
    </row>
    <row r="93" spans="1:51" x14ac:dyDescent="0.2">
      <c r="B93" s="28"/>
      <c r="C93" s="1" t="s">
        <v>113</v>
      </c>
      <c r="D93" s="23">
        <v>0</v>
      </c>
      <c r="E93" s="23">
        <f>(Ventas!$S$50*Ventas!$S$19)*(1+10%)</f>
        <v>2108.3333333333339</v>
      </c>
      <c r="F93" s="23">
        <f>(Ventas!$S$50*Ventas!$S$19)*(1+10%)</f>
        <v>2108.3333333333339</v>
      </c>
      <c r="G93" s="23">
        <f>(Ventas!$S$50*Ventas!$S$19)*(1+10%)</f>
        <v>2108.3333333333339</v>
      </c>
      <c r="H93" s="23">
        <f>(Ventas!$S$50*Ventas!$S$19)*(1+10%)</f>
        <v>2108.3333333333339</v>
      </c>
      <c r="I93" s="23">
        <f>(Ventas!$S$50*Ventas!$S$19)*(1+10%)</f>
        <v>2108.3333333333339</v>
      </c>
      <c r="J93" s="23">
        <f>(Ventas!$S$50*Ventas!$S$19)*(1+10%)</f>
        <v>2108.3333333333339</v>
      </c>
      <c r="K93" s="23">
        <f>(Ventas!$S$50*Ventas!$S$19)*(1+10%)</f>
        <v>2108.3333333333339</v>
      </c>
      <c r="L93" s="23">
        <f>(Ventas!$S$50*Ventas!$S$19)*(1+10%)</f>
        <v>2108.3333333333339</v>
      </c>
      <c r="M93" s="23">
        <f>(Ventas!$S$50*Ventas!$S$19)*(1+10%)</f>
        <v>2108.3333333333339</v>
      </c>
      <c r="N93" s="23">
        <f>(Ventas!$S$50*Ventas!$S$19)*(1+10%)</f>
        <v>2108.3333333333339</v>
      </c>
      <c r="O93" s="23">
        <f>(Ventas!$S$50*Ventas!$S$19)*(1+10%)</f>
        <v>2108.3333333333339</v>
      </c>
      <c r="P93" s="23">
        <f>(Ventas!$S$50*Ventas!$S$19)*(1+10%)</f>
        <v>2108.3333333333339</v>
      </c>
      <c r="Q93" s="23">
        <f t="shared" si="202"/>
        <v>25300.000000000015</v>
      </c>
      <c r="R93" s="28"/>
      <c r="S93" s="1" t="s">
        <v>113</v>
      </c>
      <c r="T93" s="38">
        <f>(E93*Ventas!$AH$19)*(1+10%)</f>
        <v>2551.0833333333344</v>
      </c>
      <c r="U93" s="38">
        <f>(F93*Ventas!$AH$19)*(1+10%)</f>
        <v>2551.0833333333344</v>
      </c>
      <c r="V93" s="38">
        <f>(G93*Ventas!$AH$19)*(1+10%)</f>
        <v>2551.0833333333344</v>
      </c>
      <c r="W93" s="38">
        <f>(H93*Ventas!$AH$19)*(1+10%)</f>
        <v>2551.0833333333344</v>
      </c>
      <c r="X93" s="38">
        <f>(I93*Ventas!$AH$19)*(1+10%)</f>
        <v>2551.0833333333344</v>
      </c>
      <c r="Y93" s="38">
        <f>(J93*Ventas!$AH$19)*(1+10%)</f>
        <v>2551.0833333333344</v>
      </c>
      <c r="Z93" s="38">
        <f>(K93*Ventas!$AH$19)*(1+10%)</f>
        <v>2551.0833333333344</v>
      </c>
      <c r="AA93" s="38">
        <f>(L93*Ventas!$AH$19)*(1+10%)</f>
        <v>2551.0833333333344</v>
      </c>
      <c r="AB93" s="38">
        <f>(M93*Ventas!$AH$19)*(1+10%)</f>
        <v>2551.0833333333344</v>
      </c>
      <c r="AC93" s="38">
        <f>(N93*Ventas!$AH$19)*(1+10%)</f>
        <v>2551.0833333333344</v>
      </c>
      <c r="AD93" s="38">
        <f>(O93*Ventas!$AH$19)*(1+10%)</f>
        <v>2551.0833333333344</v>
      </c>
      <c r="AE93" s="38">
        <f>(P93*Ventas!$AH$19)*(1+10%)</f>
        <v>2551.0833333333344</v>
      </c>
      <c r="AF93" s="23">
        <f t="shared" si="203"/>
        <v>30613.000000000018</v>
      </c>
      <c r="AH93" s="1" t="s">
        <v>113</v>
      </c>
      <c r="AI93" s="38">
        <f>(T93*Ventas!$AH$19)*(1+10%)</f>
        <v>3086.8108333333348</v>
      </c>
      <c r="AJ93" s="38">
        <f>(U93*Ventas!$AH$19)*(1+10%)</f>
        <v>3086.8108333333348</v>
      </c>
      <c r="AK93" s="38">
        <f>(V93*Ventas!$AH$19)*(1+10%)</f>
        <v>3086.8108333333348</v>
      </c>
      <c r="AL93" s="38">
        <f>(W93*Ventas!$AH$19)*(1+10%)</f>
        <v>3086.8108333333348</v>
      </c>
      <c r="AM93" s="38">
        <f>(X93*Ventas!$AH$19)*(1+10%)</f>
        <v>3086.8108333333348</v>
      </c>
      <c r="AN93" s="38">
        <f>(Y93*Ventas!$AH$19)*(1+10%)</f>
        <v>3086.8108333333348</v>
      </c>
      <c r="AO93" s="38">
        <f>(Z93*Ventas!$AH$19)*(1+10%)</f>
        <v>3086.8108333333348</v>
      </c>
      <c r="AP93" s="38">
        <f>(AA93*Ventas!$AH$19)*(1+10%)</f>
        <v>3086.8108333333348</v>
      </c>
      <c r="AQ93" s="38">
        <f>(AB93*Ventas!$AH$19)*(1+10%)</f>
        <v>3086.8108333333348</v>
      </c>
      <c r="AR93" s="38">
        <f>(AC93*Ventas!$AH$19)*(1+10%)</f>
        <v>3086.8108333333348</v>
      </c>
      <c r="AS93" s="38">
        <f>(AD93*Ventas!$AH$19)*(1+10%)</f>
        <v>3086.8108333333348</v>
      </c>
      <c r="AT93" s="38">
        <f>(AE93*Ventas!$AH$19)*(1+10%)</f>
        <v>3086.8108333333348</v>
      </c>
      <c r="AU93" s="23">
        <f t="shared" si="204"/>
        <v>37041.730000000025</v>
      </c>
    </row>
    <row r="94" spans="1:51" x14ac:dyDescent="0.2">
      <c r="B94" s="100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R94" s="100"/>
      <c r="S94" s="2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H94" s="2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1:51" x14ac:dyDescent="0.2">
      <c r="B95" s="100"/>
      <c r="R95" s="11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51" ht="15.75" x14ac:dyDescent="0.25">
      <c r="B96" s="100"/>
      <c r="C96" s="6" t="s">
        <v>32</v>
      </c>
      <c r="D96" s="28">
        <f>SUM(D97:D100)</f>
        <v>39555.208333333328</v>
      </c>
      <c r="E96" s="23">
        <f>SUM(E97:E100)</f>
        <v>39555.208333333328</v>
      </c>
      <c r="F96" s="23">
        <f t="shared" ref="F96:P96" si="223">SUM(F97:F100)</f>
        <v>39555.208333333328</v>
      </c>
      <c r="G96" s="23">
        <f t="shared" si="223"/>
        <v>39555.208333333328</v>
      </c>
      <c r="H96" s="23">
        <f t="shared" si="223"/>
        <v>39555.208333333328</v>
      </c>
      <c r="I96" s="23">
        <f t="shared" si="223"/>
        <v>39555.208333333328</v>
      </c>
      <c r="J96" s="23">
        <f t="shared" si="223"/>
        <v>39555.208333333328</v>
      </c>
      <c r="K96" s="23">
        <f t="shared" si="223"/>
        <v>39555.208333333328</v>
      </c>
      <c r="L96" s="23">
        <f t="shared" si="223"/>
        <v>39555.208333333328</v>
      </c>
      <c r="M96" s="23">
        <f t="shared" si="223"/>
        <v>39555.208333333328</v>
      </c>
      <c r="N96" s="23">
        <f t="shared" si="223"/>
        <v>39555.208333333328</v>
      </c>
      <c r="O96" s="23">
        <f t="shared" si="223"/>
        <v>39555.208333333328</v>
      </c>
      <c r="P96" s="23">
        <f t="shared" si="223"/>
        <v>43023.895833333328</v>
      </c>
      <c r="Q96" s="23">
        <f t="shared" ref="Q96:Q100" si="224">SUM(E96:P96)</f>
        <v>478131.18749999983</v>
      </c>
      <c r="R96" s="28"/>
      <c r="S96" s="7" t="s">
        <v>32</v>
      </c>
      <c r="T96" s="23">
        <f>SUM(T97:T100)</f>
        <v>43510.729166666657</v>
      </c>
      <c r="U96" s="23">
        <f t="shared" ref="U96:AE96" si="225">SUM(U97:U100)</f>
        <v>43510.729166666657</v>
      </c>
      <c r="V96" s="23">
        <f t="shared" si="225"/>
        <v>43510.729166666657</v>
      </c>
      <c r="W96" s="23">
        <f t="shared" si="225"/>
        <v>43510.729166666657</v>
      </c>
      <c r="X96" s="23">
        <f t="shared" si="225"/>
        <v>43510.729166666657</v>
      </c>
      <c r="Y96" s="23">
        <f t="shared" si="225"/>
        <v>43510.729166666657</v>
      </c>
      <c r="Z96" s="23">
        <f t="shared" si="225"/>
        <v>43510.729166666657</v>
      </c>
      <c r="AA96" s="23">
        <f t="shared" si="225"/>
        <v>43510.729166666657</v>
      </c>
      <c r="AB96" s="23">
        <f t="shared" si="225"/>
        <v>43510.729166666657</v>
      </c>
      <c r="AC96" s="23">
        <f t="shared" si="225"/>
        <v>43510.729166666657</v>
      </c>
      <c r="AD96" s="23">
        <f t="shared" si="225"/>
        <v>43510.729166666657</v>
      </c>
      <c r="AE96" s="23">
        <f t="shared" si="225"/>
        <v>47326.285416666658</v>
      </c>
      <c r="AF96" s="23">
        <f t="shared" ref="AF96:AF100" si="226">SUM(T96:AE96)</f>
        <v>525944.30624999979</v>
      </c>
      <c r="AH96" s="7" t="s">
        <v>32</v>
      </c>
      <c r="AI96" s="23">
        <f>SUM(AI97:AI100)</f>
        <v>47861.802083333328</v>
      </c>
      <c r="AJ96" s="23">
        <f t="shared" ref="AJ96:AT96" si="227">SUM(AJ97:AJ100)</f>
        <v>47861.802083333328</v>
      </c>
      <c r="AK96" s="23">
        <f t="shared" si="227"/>
        <v>47861.802083333328</v>
      </c>
      <c r="AL96" s="23">
        <f t="shared" si="227"/>
        <v>47861.802083333328</v>
      </c>
      <c r="AM96" s="23">
        <f t="shared" si="227"/>
        <v>47861.802083333328</v>
      </c>
      <c r="AN96" s="23">
        <f t="shared" si="227"/>
        <v>47861.802083333328</v>
      </c>
      <c r="AO96" s="23">
        <f t="shared" si="227"/>
        <v>47861.802083333328</v>
      </c>
      <c r="AP96" s="23">
        <f t="shared" si="227"/>
        <v>47861.802083333328</v>
      </c>
      <c r="AQ96" s="23">
        <f t="shared" si="227"/>
        <v>47861.802083333328</v>
      </c>
      <c r="AR96" s="23">
        <f t="shared" si="227"/>
        <v>47861.802083333328</v>
      </c>
      <c r="AS96" s="23">
        <f t="shared" si="227"/>
        <v>47861.802083333328</v>
      </c>
      <c r="AT96" s="23">
        <f t="shared" si="227"/>
        <v>52058.913958333324</v>
      </c>
      <c r="AU96" s="23">
        <f t="shared" ref="AU96:AU100" si="228">SUM(AI96:AT96)</f>
        <v>578538.73687499983</v>
      </c>
      <c r="AX96" s="25">
        <f>+AF96/Q96-1</f>
        <v>9.9999999999999867E-2</v>
      </c>
      <c r="AY96" s="25">
        <f>+AU96/AF96-1</f>
        <v>0.10000000000000009</v>
      </c>
    </row>
    <row r="97" spans="2:47" x14ac:dyDescent="0.2">
      <c r="C97" s="1" t="s">
        <v>33</v>
      </c>
      <c r="D97" s="28">
        <f>(25000*Ventas!$S$19)*1.27</f>
        <v>36512.499999999993</v>
      </c>
      <c r="E97" s="23">
        <f>(25000*Ventas!$S$19)*1.27</f>
        <v>36512.499999999993</v>
      </c>
      <c r="F97" s="23">
        <f>(25000*Ventas!$S$19)*1.27</f>
        <v>36512.499999999993</v>
      </c>
      <c r="G97" s="23">
        <f>(25000*Ventas!$S$19)*1.27</f>
        <v>36512.499999999993</v>
      </c>
      <c r="H97" s="23">
        <f>(25000*Ventas!$S$19)*1.27</f>
        <v>36512.499999999993</v>
      </c>
      <c r="I97" s="23">
        <f>(25000*Ventas!$S$19)*1.27</f>
        <v>36512.499999999993</v>
      </c>
      <c r="J97" s="23">
        <f>(25000*Ventas!$S$19)*1.27</f>
        <v>36512.499999999993</v>
      </c>
      <c r="K97" s="23">
        <f>(25000*Ventas!$S$19)*1.27</f>
        <v>36512.499999999993</v>
      </c>
      <c r="L97" s="23">
        <f>(25000*Ventas!$S$19)*1.27</f>
        <v>36512.499999999993</v>
      </c>
      <c r="M97" s="23">
        <f>(25000*Ventas!$S$19)*1.27</f>
        <v>36512.499999999993</v>
      </c>
      <c r="N97" s="23">
        <f>(25000*Ventas!$S$19)*1.27</f>
        <v>36512.499999999993</v>
      </c>
      <c r="O97" s="23">
        <f>(25000*Ventas!$S$19)*1.27</f>
        <v>36512.499999999993</v>
      </c>
      <c r="P97" s="23">
        <f>(25000*Ventas!$S$19)*1.27</f>
        <v>36512.499999999993</v>
      </c>
      <c r="Q97" s="23">
        <f t="shared" si="224"/>
        <v>438149.99999999994</v>
      </c>
      <c r="S97" s="2" t="s">
        <v>33</v>
      </c>
      <c r="T97" s="61">
        <f>(E97*Ventas!$AH$19)</f>
        <v>40163.749999999993</v>
      </c>
      <c r="U97" s="61">
        <f>(F97*Ventas!$AH$19)</f>
        <v>40163.749999999993</v>
      </c>
      <c r="V97" s="61">
        <f>(G97*Ventas!$AH$19)</f>
        <v>40163.749999999993</v>
      </c>
      <c r="W97" s="61">
        <f>(H97*Ventas!$AH$19)</f>
        <v>40163.749999999993</v>
      </c>
      <c r="X97" s="61">
        <f>(I97*Ventas!$AH$19)</f>
        <v>40163.749999999993</v>
      </c>
      <c r="Y97" s="61">
        <f>(J97*Ventas!$AH$19)</f>
        <v>40163.749999999993</v>
      </c>
      <c r="Z97" s="61">
        <f>(K97*Ventas!$AH$19)</f>
        <v>40163.749999999993</v>
      </c>
      <c r="AA97" s="61">
        <f>(L97*Ventas!$AH$19)</f>
        <v>40163.749999999993</v>
      </c>
      <c r="AB97" s="61">
        <f>(M97*Ventas!$AH$19)</f>
        <v>40163.749999999993</v>
      </c>
      <c r="AC97" s="61">
        <f>(N97*Ventas!$AH$19)</f>
        <v>40163.749999999993</v>
      </c>
      <c r="AD97" s="61">
        <f>(O97*Ventas!$AH$19)</f>
        <v>40163.749999999993</v>
      </c>
      <c r="AE97" s="61">
        <f>(P97*Ventas!$AH$19)</f>
        <v>40163.749999999993</v>
      </c>
      <c r="AF97" s="23">
        <f t="shared" si="226"/>
        <v>481964.99999999994</v>
      </c>
      <c r="AH97" s="2" t="s">
        <v>33</v>
      </c>
      <c r="AI97" s="61">
        <f>(T97*Ventas!$AH$19)</f>
        <v>44180.124999999993</v>
      </c>
      <c r="AJ97" s="61">
        <f>(U97*Ventas!$AH$19)</f>
        <v>44180.124999999993</v>
      </c>
      <c r="AK97" s="61">
        <f>(V97*Ventas!$AH$19)</f>
        <v>44180.124999999993</v>
      </c>
      <c r="AL97" s="61">
        <f>(W97*Ventas!$AH$19)</f>
        <v>44180.124999999993</v>
      </c>
      <c r="AM97" s="61">
        <f>(X97*Ventas!$AH$19)</f>
        <v>44180.124999999993</v>
      </c>
      <c r="AN97" s="61">
        <f>(Y97*Ventas!$AH$19)</f>
        <v>44180.124999999993</v>
      </c>
      <c r="AO97" s="61">
        <f>(Z97*Ventas!$AH$19)</f>
        <v>44180.124999999993</v>
      </c>
      <c r="AP97" s="61">
        <f>(AA97*Ventas!$AH$19)</f>
        <v>44180.124999999993</v>
      </c>
      <c r="AQ97" s="61">
        <f>(AB97*Ventas!$AH$19)</f>
        <v>44180.124999999993</v>
      </c>
      <c r="AR97" s="61">
        <f>(AC97*Ventas!$AH$19)</f>
        <v>44180.124999999993</v>
      </c>
      <c r="AS97" s="61">
        <f>(AD97*Ventas!$AH$19)</f>
        <v>44180.124999999993</v>
      </c>
      <c r="AT97" s="61">
        <f>(AE97*Ventas!$AH$19)</f>
        <v>44180.124999999993</v>
      </c>
      <c r="AU97" s="23">
        <f t="shared" si="228"/>
        <v>530161.49999999988</v>
      </c>
    </row>
    <row r="98" spans="2:47" x14ac:dyDescent="0.2">
      <c r="C98" s="1" t="s">
        <v>34</v>
      </c>
      <c r="D98" s="28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f>SUM(D98:P98)</f>
        <v>0</v>
      </c>
      <c r="S98" s="2" t="s">
        <v>34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f t="shared" si="226"/>
        <v>0</v>
      </c>
      <c r="AH98" s="2" t="s">
        <v>34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  <c r="AT98" s="23">
        <v>0</v>
      </c>
      <c r="AU98" s="23">
        <f t="shared" si="228"/>
        <v>0</v>
      </c>
    </row>
    <row r="99" spans="2:47" x14ac:dyDescent="0.2">
      <c r="C99" s="1" t="s">
        <v>35</v>
      </c>
      <c r="D99" s="28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f t="shared" si="224"/>
        <v>0</v>
      </c>
      <c r="S99" s="2" t="s">
        <v>35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f t="shared" si="226"/>
        <v>0</v>
      </c>
      <c r="AH99" s="2" t="s">
        <v>35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  <c r="AT99" s="23">
        <v>0</v>
      </c>
      <c r="AU99" s="23">
        <f t="shared" si="228"/>
        <v>0</v>
      </c>
    </row>
    <row r="100" spans="2:47" x14ac:dyDescent="0.2">
      <c r="C100" s="1" t="s">
        <v>55</v>
      </c>
      <c r="D100" s="28">
        <f>(D97/2)/6</f>
        <v>3042.7083333333326</v>
      </c>
      <c r="E100" s="23">
        <f>(E97/2)/6</f>
        <v>3042.7083333333326</v>
      </c>
      <c r="F100" s="23">
        <f t="shared" ref="F100:O100" si="229">(F97/2)/6</f>
        <v>3042.7083333333326</v>
      </c>
      <c r="G100" s="23">
        <f t="shared" si="229"/>
        <v>3042.7083333333326</v>
      </c>
      <c r="H100" s="23">
        <f t="shared" si="229"/>
        <v>3042.7083333333326</v>
      </c>
      <c r="I100" s="23">
        <f t="shared" si="229"/>
        <v>3042.7083333333326</v>
      </c>
      <c r="J100" s="23">
        <f t="shared" si="229"/>
        <v>3042.7083333333326</v>
      </c>
      <c r="K100" s="23">
        <f t="shared" si="229"/>
        <v>3042.7083333333326</v>
      </c>
      <c r="L100" s="23">
        <f t="shared" si="229"/>
        <v>3042.7083333333326</v>
      </c>
      <c r="M100" s="23">
        <f t="shared" si="229"/>
        <v>3042.7083333333326</v>
      </c>
      <c r="N100" s="23">
        <f t="shared" si="229"/>
        <v>3042.7083333333326</v>
      </c>
      <c r="O100" s="23">
        <f t="shared" si="229"/>
        <v>3042.7083333333326</v>
      </c>
      <c r="P100" s="23">
        <f>(P97/2)/6+P97*9.5%</f>
        <v>6511.3958333333321</v>
      </c>
      <c r="Q100" s="23">
        <f t="shared" si="224"/>
        <v>39981.187499999985</v>
      </c>
      <c r="S100" s="2" t="s">
        <v>55</v>
      </c>
      <c r="T100" s="23">
        <f>(T97/2)/6</f>
        <v>3346.9791666666661</v>
      </c>
      <c r="U100" s="23">
        <f t="shared" ref="U100:AD100" si="230">(U97/2)/6</f>
        <v>3346.9791666666661</v>
      </c>
      <c r="V100" s="23">
        <f t="shared" si="230"/>
        <v>3346.9791666666661</v>
      </c>
      <c r="W100" s="23">
        <f t="shared" si="230"/>
        <v>3346.9791666666661</v>
      </c>
      <c r="X100" s="23">
        <f t="shared" si="230"/>
        <v>3346.9791666666661</v>
      </c>
      <c r="Y100" s="23">
        <f t="shared" si="230"/>
        <v>3346.9791666666661</v>
      </c>
      <c r="Z100" s="23">
        <f t="shared" si="230"/>
        <v>3346.9791666666661</v>
      </c>
      <c r="AA100" s="23">
        <f t="shared" si="230"/>
        <v>3346.9791666666661</v>
      </c>
      <c r="AB100" s="23">
        <f t="shared" si="230"/>
        <v>3346.9791666666661</v>
      </c>
      <c r="AC100" s="23">
        <f t="shared" si="230"/>
        <v>3346.9791666666661</v>
      </c>
      <c r="AD100" s="23">
        <f t="shared" si="230"/>
        <v>3346.9791666666661</v>
      </c>
      <c r="AE100" s="23">
        <f>(AE97/2)/6+AE97*9.5%</f>
        <v>7162.5354166666657</v>
      </c>
      <c r="AF100" s="23">
        <f t="shared" si="226"/>
        <v>43979.30624999998</v>
      </c>
      <c r="AH100" s="2" t="s">
        <v>55</v>
      </c>
      <c r="AI100" s="23">
        <f>(AI97/2)/6</f>
        <v>3681.6770833333326</v>
      </c>
      <c r="AJ100" s="23">
        <f t="shared" ref="AJ100:AS100" si="231">(AJ97/2)/6</f>
        <v>3681.6770833333326</v>
      </c>
      <c r="AK100" s="23">
        <f t="shared" si="231"/>
        <v>3681.6770833333326</v>
      </c>
      <c r="AL100" s="23">
        <f t="shared" si="231"/>
        <v>3681.6770833333326</v>
      </c>
      <c r="AM100" s="23">
        <f t="shared" si="231"/>
        <v>3681.6770833333326</v>
      </c>
      <c r="AN100" s="23">
        <f t="shared" si="231"/>
        <v>3681.6770833333326</v>
      </c>
      <c r="AO100" s="23">
        <f t="shared" si="231"/>
        <v>3681.6770833333326</v>
      </c>
      <c r="AP100" s="23">
        <f t="shared" si="231"/>
        <v>3681.6770833333326</v>
      </c>
      <c r="AQ100" s="23">
        <f t="shared" si="231"/>
        <v>3681.6770833333326</v>
      </c>
      <c r="AR100" s="23">
        <f t="shared" si="231"/>
        <v>3681.6770833333326</v>
      </c>
      <c r="AS100" s="23">
        <f t="shared" si="231"/>
        <v>3681.6770833333326</v>
      </c>
      <c r="AT100" s="23">
        <f>(AT97/2)/6+AT97*9.5%</f>
        <v>7878.7889583333326</v>
      </c>
      <c r="AU100" s="23">
        <f t="shared" si="228"/>
        <v>48377.236874999995</v>
      </c>
    </row>
    <row r="101" spans="2:47" x14ac:dyDescent="0.2">
      <c r="B101" s="40"/>
      <c r="D101" s="23"/>
      <c r="E101" s="23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:47" x14ac:dyDescent="0.2">
      <c r="B102" s="40"/>
      <c r="C102" s="103" t="s">
        <v>67</v>
      </c>
      <c r="D102" s="105">
        <v>0</v>
      </c>
      <c r="E102" s="105">
        <v>1</v>
      </c>
      <c r="F102" s="105">
        <v>2</v>
      </c>
      <c r="G102" s="105">
        <v>3</v>
      </c>
      <c r="H102" s="105">
        <v>4</v>
      </c>
      <c r="I102" s="105">
        <v>5</v>
      </c>
      <c r="J102" s="105">
        <v>6</v>
      </c>
      <c r="K102" s="105">
        <v>7</v>
      </c>
      <c r="L102" s="105">
        <v>8</v>
      </c>
      <c r="M102" s="105">
        <v>9</v>
      </c>
      <c r="N102" s="105">
        <v>10</v>
      </c>
      <c r="O102" s="105">
        <v>11</v>
      </c>
      <c r="P102" s="105">
        <v>12</v>
      </c>
      <c r="Q102" s="106" t="s">
        <v>79</v>
      </c>
      <c r="S102" s="103"/>
      <c r="T102" s="105">
        <v>13</v>
      </c>
      <c r="U102" s="105">
        <v>14</v>
      </c>
      <c r="V102" s="105">
        <v>15</v>
      </c>
      <c r="W102" s="105">
        <v>16</v>
      </c>
      <c r="X102" s="105">
        <v>17</v>
      </c>
      <c r="Y102" s="105">
        <v>18</v>
      </c>
      <c r="Z102" s="105">
        <v>19</v>
      </c>
      <c r="AA102" s="105">
        <v>20</v>
      </c>
      <c r="AB102" s="105">
        <v>21</v>
      </c>
      <c r="AC102" s="105">
        <v>22</v>
      </c>
      <c r="AD102" s="105">
        <v>23</v>
      </c>
      <c r="AE102" s="105">
        <v>24</v>
      </c>
      <c r="AF102" s="106" t="s">
        <v>80</v>
      </c>
      <c r="AH102" s="103"/>
      <c r="AI102" s="105">
        <v>25</v>
      </c>
      <c r="AJ102" s="105">
        <v>26</v>
      </c>
      <c r="AK102" s="105">
        <v>27</v>
      </c>
      <c r="AL102" s="105">
        <v>28</v>
      </c>
      <c r="AM102" s="105">
        <v>29</v>
      </c>
      <c r="AN102" s="105">
        <v>30</v>
      </c>
      <c r="AO102" s="105">
        <v>31</v>
      </c>
      <c r="AP102" s="105">
        <v>32</v>
      </c>
      <c r="AQ102" s="105">
        <v>33</v>
      </c>
      <c r="AR102" s="105">
        <v>34</v>
      </c>
      <c r="AS102" s="105">
        <v>35</v>
      </c>
      <c r="AT102" s="105">
        <v>36</v>
      </c>
      <c r="AU102" s="106" t="s">
        <v>81</v>
      </c>
    </row>
    <row r="103" spans="2:47" ht="15.75" x14ac:dyDescent="0.25">
      <c r="C103" s="6" t="s">
        <v>71</v>
      </c>
      <c r="D103" s="38">
        <f>SUM(D104)</f>
        <v>0</v>
      </c>
      <c r="E103" s="23">
        <f>SUM(E104)</f>
        <v>51105.808595982271</v>
      </c>
      <c r="F103" s="23">
        <f t="shared" ref="F103:P103" si="232">SUM(F104)</f>
        <v>51105.808595982271</v>
      </c>
      <c r="G103" s="23">
        <f t="shared" si="232"/>
        <v>51105.808595982271</v>
      </c>
      <c r="H103" s="23">
        <f t="shared" si="232"/>
        <v>51105.808595982271</v>
      </c>
      <c r="I103" s="23">
        <f t="shared" si="232"/>
        <v>51105.808595982271</v>
      </c>
      <c r="J103" s="23">
        <f t="shared" si="232"/>
        <v>51105.808595982271</v>
      </c>
      <c r="K103" s="23">
        <f t="shared" si="232"/>
        <v>51105.808595982271</v>
      </c>
      <c r="L103" s="23">
        <f t="shared" si="232"/>
        <v>51105.808595982271</v>
      </c>
      <c r="M103" s="23">
        <f t="shared" si="232"/>
        <v>51105.808595982271</v>
      </c>
      <c r="N103" s="23">
        <f t="shared" si="232"/>
        <v>51105.808595982271</v>
      </c>
      <c r="O103" s="23">
        <f t="shared" si="232"/>
        <v>51105.808595982271</v>
      </c>
      <c r="P103" s="23">
        <f t="shared" si="232"/>
        <v>51105.808595982271</v>
      </c>
      <c r="Q103" s="23">
        <f t="shared" ref="Q103:Q104" si="233">SUM(E103:P103)</f>
        <v>613269.70315178728</v>
      </c>
      <c r="S103" s="7" t="s">
        <v>71</v>
      </c>
      <c r="T103" s="23">
        <f t="shared" ref="T103:AE103" si="234">SUM(T104)</f>
        <v>80876.145515843062</v>
      </c>
      <c r="U103" s="23">
        <f t="shared" si="234"/>
        <v>80876.145515843062</v>
      </c>
      <c r="V103" s="23">
        <f t="shared" si="234"/>
        <v>80876.145515843062</v>
      </c>
      <c r="W103" s="23">
        <f t="shared" si="234"/>
        <v>80876.145515843062</v>
      </c>
      <c r="X103" s="23">
        <f t="shared" si="234"/>
        <v>80876.145515843062</v>
      </c>
      <c r="Y103" s="23">
        <f t="shared" si="234"/>
        <v>80876.145515843062</v>
      </c>
      <c r="Z103" s="23">
        <f t="shared" si="234"/>
        <v>80876.145515843062</v>
      </c>
      <c r="AA103" s="23">
        <f t="shared" si="234"/>
        <v>80876.145515843062</v>
      </c>
      <c r="AB103" s="23">
        <f t="shared" si="234"/>
        <v>80876.145515843062</v>
      </c>
      <c r="AC103" s="23">
        <f t="shared" si="234"/>
        <v>80876.145515843062</v>
      </c>
      <c r="AD103" s="23">
        <f t="shared" si="234"/>
        <v>80876.145515843062</v>
      </c>
      <c r="AE103" s="23">
        <f t="shared" si="234"/>
        <v>80876.145515843062</v>
      </c>
      <c r="AF103" s="23">
        <f t="shared" ref="AF103:AF104" si="235">SUM(T103:AE103)</f>
        <v>970513.74619011674</v>
      </c>
      <c r="AH103" s="7" t="s">
        <v>71</v>
      </c>
      <c r="AI103" s="23">
        <f t="shared" ref="AI103:AT103" si="236">SUM(AI104)</f>
        <v>130284.9724601411</v>
      </c>
      <c r="AJ103" s="23">
        <f t="shared" si="236"/>
        <v>130284.9724601411</v>
      </c>
      <c r="AK103" s="23">
        <f t="shared" si="236"/>
        <v>130284.9724601411</v>
      </c>
      <c r="AL103" s="23">
        <f t="shared" si="236"/>
        <v>130284.9724601411</v>
      </c>
      <c r="AM103" s="23">
        <f t="shared" si="236"/>
        <v>130284.9724601411</v>
      </c>
      <c r="AN103" s="23">
        <f t="shared" si="236"/>
        <v>130284.9724601411</v>
      </c>
      <c r="AO103" s="23">
        <f t="shared" si="236"/>
        <v>130284.9724601411</v>
      </c>
      <c r="AP103" s="23">
        <f t="shared" si="236"/>
        <v>130284.9724601411</v>
      </c>
      <c r="AQ103" s="23">
        <f t="shared" si="236"/>
        <v>130284.9724601411</v>
      </c>
      <c r="AR103" s="23">
        <f t="shared" si="236"/>
        <v>130284.9724601411</v>
      </c>
      <c r="AS103" s="23">
        <f t="shared" si="236"/>
        <v>130284.9724601411</v>
      </c>
      <c r="AT103" s="23">
        <f t="shared" si="236"/>
        <v>130284.9724601411</v>
      </c>
      <c r="AU103" s="23">
        <f t="shared" ref="AU103:AU104" si="237">SUM(AI103:AT103)</f>
        <v>1563419.6695216934</v>
      </c>
    </row>
    <row r="104" spans="2:47" x14ac:dyDescent="0.2">
      <c r="C104" s="1" t="s">
        <v>68</v>
      </c>
      <c r="D104" s="38">
        <v>0</v>
      </c>
      <c r="E104" s="23">
        <f>$Q$7*5%/12</f>
        <v>51105.808595982271</v>
      </c>
      <c r="F104" s="23">
        <f t="shared" ref="F104:P104" si="238">$Q$7*5%/12</f>
        <v>51105.808595982271</v>
      </c>
      <c r="G104" s="23">
        <f t="shared" si="238"/>
        <v>51105.808595982271</v>
      </c>
      <c r="H104" s="23">
        <f t="shared" si="238"/>
        <v>51105.808595982271</v>
      </c>
      <c r="I104" s="23">
        <f t="shared" si="238"/>
        <v>51105.808595982271</v>
      </c>
      <c r="J104" s="23">
        <f t="shared" si="238"/>
        <v>51105.808595982271</v>
      </c>
      <c r="K104" s="23">
        <f t="shared" si="238"/>
        <v>51105.808595982271</v>
      </c>
      <c r="L104" s="23">
        <f t="shared" si="238"/>
        <v>51105.808595982271</v>
      </c>
      <c r="M104" s="23">
        <f t="shared" si="238"/>
        <v>51105.808595982271</v>
      </c>
      <c r="N104" s="23">
        <f t="shared" si="238"/>
        <v>51105.808595982271</v>
      </c>
      <c r="O104" s="23">
        <f t="shared" si="238"/>
        <v>51105.808595982271</v>
      </c>
      <c r="P104" s="23">
        <f t="shared" si="238"/>
        <v>51105.808595982271</v>
      </c>
      <c r="Q104" s="23">
        <f t="shared" si="233"/>
        <v>613269.70315178728</v>
      </c>
      <c r="S104" s="2" t="s">
        <v>68</v>
      </c>
      <c r="T104" s="23">
        <f>$AF$7*5%/12</f>
        <v>80876.145515843062</v>
      </c>
      <c r="U104" s="23">
        <f t="shared" ref="U104:AE104" si="239">$AF$7*5%/12</f>
        <v>80876.145515843062</v>
      </c>
      <c r="V104" s="23">
        <f t="shared" si="239"/>
        <v>80876.145515843062</v>
      </c>
      <c r="W104" s="23">
        <f t="shared" si="239"/>
        <v>80876.145515843062</v>
      </c>
      <c r="X104" s="23">
        <f t="shared" si="239"/>
        <v>80876.145515843062</v>
      </c>
      <c r="Y104" s="23">
        <f t="shared" si="239"/>
        <v>80876.145515843062</v>
      </c>
      <c r="Z104" s="23">
        <f t="shared" si="239"/>
        <v>80876.145515843062</v>
      </c>
      <c r="AA104" s="23">
        <f t="shared" si="239"/>
        <v>80876.145515843062</v>
      </c>
      <c r="AB104" s="23">
        <f t="shared" si="239"/>
        <v>80876.145515843062</v>
      </c>
      <c r="AC104" s="23">
        <f t="shared" si="239"/>
        <v>80876.145515843062</v>
      </c>
      <c r="AD104" s="23">
        <f t="shared" si="239"/>
        <v>80876.145515843062</v>
      </c>
      <c r="AE104" s="23">
        <f t="shared" si="239"/>
        <v>80876.145515843062</v>
      </c>
      <c r="AF104" s="23">
        <f t="shared" si="235"/>
        <v>970513.74619011674</v>
      </c>
      <c r="AH104" s="2" t="s">
        <v>68</v>
      </c>
      <c r="AI104" s="23">
        <f>$AU$7*5%/12</f>
        <v>130284.9724601411</v>
      </c>
      <c r="AJ104" s="23">
        <f t="shared" ref="AJ104:AT104" si="240">$AU$7*5%/12</f>
        <v>130284.9724601411</v>
      </c>
      <c r="AK104" s="23">
        <f t="shared" si="240"/>
        <v>130284.9724601411</v>
      </c>
      <c r="AL104" s="23">
        <f t="shared" si="240"/>
        <v>130284.9724601411</v>
      </c>
      <c r="AM104" s="23">
        <f t="shared" si="240"/>
        <v>130284.9724601411</v>
      </c>
      <c r="AN104" s="23">
        <f t="shared" si="240"/>
        <v>130284.9724601411</v>
      </c>
      <c r="AO104" s="23">
        <f t="shared" si="240"/>
        <v>130284.9724601411</v>
      </c>
      <c r="AP104" s="23">
        <f t="shared" si="240"/>
        <v>130284.9724601411</v>
      </c>
      <c r="AQ104" s="23">
        <f t="shared" si="240"/>
        <v>130284.9724601411</v>
      </c>
      <c r="AR104" s="23">
        <f t="shared" si="240"/>
        <v>130284.9724601411</v>
      </c>
      <c r="AS104" s="23">
        <f t="shared" si="240"/>
        <v>130284.9724601411</v>
      </c>
      <c r="AT104" s="23">
        <f t="shared" si="240"/>
        <v>130284.9724601411</v>
      </c>
      <c r="AU104" s="23">
        <f t="shared" si="237"/>
        <v>1563419.6695216934</v>
      </c>
    </row>
    <row r="105" spans="2:47" x14ac:dyDescent="0.2"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S105" s="2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H105" s="2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2:47" x14ac:dyDescent="0.2"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S106" s="2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H106" s="2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2:47" x14ac:dyDescent="0.2">
      <c r="C107" s="103" t="s">
        <v>69</v>
      </c>
      <c r="D107" s="105">
        <v>0</v>
      </c>
      <c r="E107" s="105">
        <v>1</v>
      </c>
      <c r="F107" s="105">
        <v>2</v>
      </c>
      <c r="G107" s="105">
        <v>3</v>
      </c>
      <c r="H107" s="105">
        <v>4</v>
      </c>
      <c r="I107" s="105">
        <v>5</v>
      </c>
      <c r="J107" s="105">
        <v>6</v>
      </c>
      <c r="K107" s="105">
        <v>7</v>
      </c>
      <c r="L107" s="105">
        <v>8</v>
      </c>
      <c r="M107" s="105">
        <v>9</v>
      </c>
      <c r="N107" s="105">
        <v>10</v>
      </c>
      <c r="O107" s="105">
        <v>11</v>
      </c>
      <c r="P107" s="105">
        <v>12</v>
      </c>
      <c r="Q107" s="106" t="s">
        <v>79</v>
      </c>
      <c r="S107" s="103"/>
      <c r="T107" s="105">
        <v>13</v>
      </c>
      <c r="U107" s="105">
        <v>14</v>
      </c>
      <c r="V107" s="105">
        <v>15</v>
      </c>
      <c r="W107" s="105">
        <v>16</v>
      </c>
      <c r="X107" s="105">
        <v>17</v>
      </c>
      <c r="Y107" s="105">
        <v>18</v>
      </c>
      <c r="Z107" s="105">
        <v>19</v>
      </c>
      <c r="AA107" s="105">
        <v>20</v>
      </c>
      <c r="AB107" s="105">
        <v>21</v>
      </c>
      <c r="AC107" s="105">
        <v>22</v>
      </c>
      <c r="AD107" s="105">
        <v>23</v>
      </c>
      <c r="AE107" s="105">
        <v>24</v>
      </c>
      <c r="AF107" s="106" t="s">
        <v>80</v>
      </c>
      <c r="AH107" s="103"/>
      <c r="AI107" s="105">
        <v>25</v>
      </c>
      <c r="AJ107" s="105">
        <v>26</v>
      </c>
      <c r="AK107" s="105">
        <v>27</v>
      </c>
      <c r="AL107" s="105">
        <v>28</v>
      </c>
      <c r="AM107" s="105">
        <v>29</v>
      </c>
      <c r="AN107" s="105">
        <v>30</v>
      </c>
      <c r="AO107" s="105">
        <v>31</v>
      </c>
      <c r="AP107" s="105">
        <v>32</v>
      </c>
      <c r="AQ107" s="105">
        <v>33</v>
      </c>
      <c r="AR107" s="105">
        <v>34</v>
      </c>
      <c r="AS107" s="105">
        <v>35</v>
      </c>
      <c r="AT107" s="105">
        <v>36</v>
      </c>
      <c r="AU107" s="106" t="s">
        <v>81</v>
      </c>
    </row>
    <row r="108" spans="2:47" x14ac:dyDescent="0.2">
      <c r="C108" s="1" t="s">
        <v>70</v>
      </c>
      <c r="D108" s="23">
        <v>25000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f t="shared" ref="Q108:Q109" si="241">SUM(E108:P108)</f>
        <v>0</v>
      </c>
      <c r="S108" s="2" t="s">
        <v>70</v>
      </c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23">
        <f t="shared" ref="AF108" si="242">SUM(T108:AE108)</f>
        <v>0</v>
      </c>
      <c r="AH108" s="2" t="s">
        <v>70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  <c r="AT108" s="23">
        <v>0</v>
      </c>
      <c r="AU108" s="23">
        <f t="shared" ref="AU108" si="243">SUM(AI108:AT108)</f>
        <v>0</v>
      </c>
    </row>
    <row r="109" spans="2:47" x14ac:dyDescent="0.2">
      <c r="C109" s="1" t="s">
        <v>72</v>
      </c>
      <c r="D109" s="23">
        <f>$D$108/36</f>
        <v>694.44444444444446</v>
      </c>
      <c r="E109" s="23">
        <f t="shared" ref="E109:P109" si="244">$D$108/36</f>
        <v>694.44444444444446</v>
      </c>
      <c r="F109" s="23">
        <f t="shared" si="244"/>
        <v>694.44444444444446</v>
      </c>
      <c r="G109" s="23">
        <f t="shared" si="244"/>
        <v>694.44444444444446</v>
      </c>
      <c r="H109" s="23">
        <f t="shared" si="244"/>
        <v>694.44444444444446</v>
      </c>
      <c r="I109" s="23">
        <f t="shared" si="244"/>
        <v>694.44444444444446</v>
      </c>
      <c r="J109" s="23">
        <f t="shared" si="244"/>
        <v>694.44444444444446</v>
      </c>
      <c r="K109" s="23">
        <f t="shared" si="244"/>
        <v>694.44444444444446</v>
      </c>
      <c r="L109" s="23">
        <f t="shared" si="244"/>
        <v>694.44444444444446</v>
      </c>
      <c r="M109" s="23">
        <f t="shared" si="244"/>
        <v>694.44444444444446</v>
      </c>
      <c r="N109" s="23">
        <f t="shared" si="244"/>
        <v>694.44444444444446</v>
      </c>
      <c r="O109" s="23">
        <f t="shared" si="244"/>
        <v>694.44444444444446</v>
      </c>
      <c r="P109" s="23">
        <f t="shared" si="244"/>
        <v>694.44444444444446</v>
      </c>
      <c r="Q109" s="23">
        <f t="shared" si="241"/>
        <v>8333.3333333333339</v>
      </c>
      <c r="S109" s="2" t="s">
        <v>72</v>
      </c>
      <c r="T109" s="23">
        <f>$D$108/36</f>
        <v>694.44444444444446</v>
      </c>
      <c r="U109" s="23">
        <f t="shared" ref="U109:AE109" si="245">$D$108/36</f>
        <v>694.44444444444446</v>
      </c>
      <c r="V109" s="23">
        <f t="shared" si="245"/>
        <v>694.44444444444446</v>
      </c>
      <c r="W109" s="23">
        <f t="shared" si="245"/>
        <v>694.44444444444446</v>
      </c>
      <c r="X109" s="23">
        <f t="shared" si="245"/>
        <v>694.44444444444446</v>
      </c>
      <c r="Y109" s="23">
        <f t="shared" si="245"/>
        <v>694.44444444444446</v>
      </c>
      <c r="Z109" s="23">
        <f t="shared" si="245"/>
        <v>694.44444444444446</v>
      </c>
      <c r="AA109" s="23">
        <f t="shared" si="245"/>
        <v>694.44444444444446</v>
      </c>
      <c r="AB109" s="23">
        <f t="shared" si="245"/>
        <v>694.44444444444446</v>
      </c>
      <c r="AC109" s="23">
        <f t="shared" si="245"/>
        <v>694.44444444444446</v>
      </c>
      <c r="AD109" s="23">
        <f t="shared" si="245"/>
        <v>694.44444444444446</v>
      </c>
      <c r="AE109" s="23">
        <f t="shared" si="245"/>
        <v>694.44444444444446</v>
      </c>
      <c r="AF109" s="23">
        <f t="shared" ref="AF109" si="246">SUM(T109:AE109)</f>
        <v>8333.3333333333339</v>
      </c>
      <c r="AH109" s="2" t="s">
        <v>72</v>
      </c>
      <c r="AI109" s="61">
        <v>694</v>
      </c>
      <c r="AJ109" s="61">
        <v>694</v>
      </c>
      <c r="AK109" s="61">
        <v>694</v>
      </c>
      <c r="AL109" s="61">
        <v>694</v>
      </c>
      <c r="AM109" s="61">
        <v>694</v>
      </c>
      <c r="AN109" s="61">
        <v>694</v>
      </c>
      <c r="AO109" s="61">
        <v>694</v>
      </c>
      <c r="AP109" s="61">
        <v>694</v>
      </c>
      <c r="AQ109" s="61">
        <v>694</v>
      </c>
      <c r="AR109" s="61">
        <v>694</v>
      </c>
      <c r="AS109" s="61">
        <v>694</v>
      </c>
      <c r="AT109" s="23">
        <v>0</v>
      </c>
      <c r="AU109" s="23">
        <f t="shared" ref="AU109" si="247">SUM(AI109:AT109)</f>
        <v>7634</v>
      </c>
    </row>
    <row r="110" spans="2:47" x14ac:dyDescent="0.2"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S110" s="2"/>
      <c r="T110" s="2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H110" s="2"/>
      <c r="AI110" s="2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2:47" x14ac:dyDescent="0.2"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2:47" x14ac:dyDescent="0.2">
      <c r="C112" s="95" t="s">
        <v>58</v>
      </c>
      <c r="D112" s="97">
        <v>0</v>
      </c>
      <c r="E112" s="97">
        <v>1</v>
      </c>
      <c r="F112" s="97">
        <v>2</v>
      </c>
      <c r="G112" s="97">
        <v>3</v>
      </c>
      <c r="H112" s="97">
        <v>4</v>
      </c>
      <c r="I112" s="97">
        <v>5</v>
      </c>
      <c r="J112" s="97">
        <v>6</v>
      </c>
      <c r="K112" s="97">
        <v>7</v>
      </c>
      <c r="L112" s="97">
        <v>8</v>
      </c>
      <c r="M112" s="97">
        <v>9</v>
      </c>
      <c r="N112" s="97">
        <v>10</v>
      </c>
      <c r="O112" s="97">
        <v>11</v>
      </c>
      <c r="P112" s="97">
        <v>12</v>
      </c>
      <c r="Q112" s="98" t="s">
        <v>79</v>
      </c>
      <c r="S112" s="95"/>
      <c r="T112" s="97">
        <v>13</v>
      </c>
      <c r="U112" s="97">
        <v>14</v>
      </c>
      <c r="V112" s="97">
        <v>15</v>
      </c>
      <c r="W112" s="97">
        <v>16</v>
      </c>
      <c r="X112" s="97">
        <v>17</v>
      </c>
      <c r="Y112" s="97">
        <v>18</v>
      </c>
      <c r="Z112" s="97">
        <v>19</v>
      </c>
      <c r="AA112" s="97">
        <v>20</v>
      </c>
      <c r="AB112" s="97">
        <v>21</v>
      </c>
      <c r="AC112" s="97">
        <v>22</v>
      </c>
      <c r="AD112" s="97">
        <v>23</v>
      </c>
      <c r="AE112" s="97">
        <v>24</v>
      </c>
      <c r="AF112" s="98" t="s">
        <v>80</v>
      </c>
      <c r="AH112" s="95"/>
      <c r="AI112" s="97">
        <v>25</v>
      </c>
      <c r="AJ112" s="97">
        <v>26</v>
      </c>
      <c r="AK112" s="97">
        <v>27</v>
      </c>
      <c r="AL112" s="97">
        <v>28</v>
      </c>
      <c r="AM112" s="97">
        <v>29</v>
      </c>
      <c r="AN112" s="97">
        <v>30</v>
      </c>
      <c r="AO112" s="97">
        <v>31</v>
      </c>
      <c r="AP112" s="97">
        <v>32</v>
      </c>
      <c r="AQ112" s="97">
        <v>33</v>
      </c>
      <c r="AR112" s="97">
        <v>34</v>
      </c>
      <c r="AS112" s="97">
        <v>35</v>
      </c>
      <c r="AT112" s="97">
        <v>36</v>
      </c>
      <c r="AU112" s="98" t="s">
        <v>81</v>
      </c>
    </row>
    <row r="113" spans="2:51" x14ac:dyDescent="0.2">
      <c r="C113" s="40" t="s">
        <v>56</v>
      </c>
      <c r="D113" s="23">
        <f>D7*1.21</f>
        <v>0</v>
      </c>
      <c r="E113" s="23">
        <f t="shared" ref="E113:P113" si="248">E7*1.21</f>
        <v>529075.94293399993</v>
      </c>
      <c r="F113" s="23">
        <f t="shared" si="248"/>
        <v>625142.51184000005</v>
      </c>
      <c r="G113" s="23">
        <f t="shared" si="248"/>
        <v>726778.91659100004</v>
      </c>
      <c r="H113" s="23">
        <f t="shared" si="248"/>
        <v>595270.52431000001</v>
      </c>
      <c r="I113" s="23">
        <f t="shared" si="248"/>
        <v>781859.94463500008</v>
      </c>
      <c r="J113" s="23">
        <f t="shared" si="248"/>
        <v>1139084.261315</v>
      </c>
      <c r="K113" s="23">
        <f t="shared" si="248"/>
        <v>851971.00784949993</v>
      </c>
      <c r="L113" s="23">
        <f t="shared" si="248"/>
        <v>1087694.98833765</v>
      </c>
      <c r="M113" s="23">
        <f t="shared" si="248"/>
        <v>1325256.0852299999</v>
      </c>
      <c r="N113" s="23">
        <f t="shared" si="248"/>
        <v>1975189.0800949999</v>
      </c>
      <c r="O113" s="23">
        <f t="shared" si="248"/>
        <v>1921648.4487746835</v>
      </c>
      <c r="P113" s="23">
        <f t="shared" si="248"/>
        <v>3282155.1043614144</v>
      </c>
      <c r="Q113" s="28">
        <f t="shared" ref="Q113:Q115" si="249">SUM(D113:P113)</f>
        <v>14841126.81627325</v>
      </c>
      <c r="S113" s="2" t="s">
        <v>56</v>
      </c>
      <c r="T113" s="23">
        <f t="shared" ref="T113:AE113" si="250">T7*1.21</f>
        <v>856703.05108080013</v>
      </c>
      <c r="U113" s="23">
        <f t="shared" si="250"/>
        <v>1002913.0275780001</v>
      </c>
      <c r="V113" s="23">
        <f t="shared" si="250"/>
        <v>1149117.1766592001</v>
      </c>
      <c r="W113" s="23">
        <f t="shared" si="250"/>
        <v>940464.62132699986</v>
      </c>
      <c r="X113" s="23">
        <f t="shared" si="250"/>
        <v>1257515.3616795</v>
      </c>
      <c r="Y113" s="23">
        <f t="shared" si="250"/>
        <v>1813561.6700355001</v>
      </c>
      <c r="Z113" s="23">
        <f t="shared" si="250"/>
        <v>1362778.6844941496</v>
      </c>
      <c r="AA113" s="23">
        <f t="shared" si="250"/>
        <v>1724265.781474005</v>
      </c>
      <c r="AB113" s="23">
        <f t="shared" si="250"/>
        <v>2072844.0026909998</v>
      </c>
      <c r="AC113" s="23">
        <f t="shared" si="250"/>
        <v>3225982.0746614994</v>
      </c>
      <c r="AD113" s="23">
        <f t="shared" si="250"/>
        <v>2916061.5414473466</v>
      </c>
      <c r="AE113" s="23">
        <f t="shared" si="250"/>
        <v>5164225.6646728264</v>
      </c>
      <c r="AF113" s="23">
        <f t="shared" ref="AF113:AF121" si="251">SUM(T113:AE113)</f>
        <v>23486432.657800827</v>
      </c>
      <c r="AH113" s="2" t="s">
        <v>56</v>
      </c>
      <c r="AI113" s="23">
        <f t="shared" ref="AI113:AT113" si="252">AI7*1.21</f>
        <v>1405123.9245489598</v>
      </c>
      <c r="AJ113" s="23">
        <f t="shared" si="252"/>
        <v>1633157.0558225999</v>
      </c>
      <c r="AK113" s="23">
        <f t="shared" si="252"/>
        <v>1849810.8224660396</v>
      </c>
      <c r="AL113" s="23">
        <f t="shared" si="252"/>
        <v>1512995.5322558999</v>
      </c>
      <c r="AM113" s="23">
        <f t="shared" si="252"/>
        <v>2051800.26181515</v>
      </c>
      <c r="AN113" s="23">
        <f t="shared" si="252"/>
        <v>2935596.9500203501</v>
      </c>
      <c r="AO113" s="23">
        <f t="shared" si="252"/>
        <v>2214037.3290200545</v>
      </c>
      <c r="AP113" s="23">
        <f t="shared" si="252"/>
        <v>2781472.9900658084</v>
      </c>
      <c r="AQ113" s="23">
        <f t="shared" si="252"/>
        <v>3307725.1939347</v>
      </c>
      <c r="AR113" s="23">
        <f t="shared" si="252"/>
        <v>5325962.2931245491</v>
      </c>
      <c r="AS113" s="23">
        <f t="shared" si="252"/>
        <v>4536415.6346969502</v>
      </c>
      <c r="AT113" s="23">
        <f t="shared" si="252"/>
        <v>8280658.01465391</v>
      </c>
      <c r="AU113" s="23">
        <f t="shared" ref="AU113:AU117" si="253">SUM(AI113:AT113)</f>
        <v>37834756.00242497</v>
      </c>
      <c r="AX113" s="25">
        <f>+AF113/Q113-1</f>
        <v>0.58252354747403867</v>
      </c>
      <c r="AY113" s="25">
        <f>+AU113/AF113-1</f>
        <v>0.61091965534657144</v>
      </c>
    </row>
    <row r="114" spans="2:51" x14ac:dyDescent="0.2">
      <c r="C114" s="40" t="s">
        <v>57</v>
      </c>
      <c r="D114" s="23">
        <f t="shared" ref="D114:P114" si="254">D14*1.21+D15*1.21+D16+D17+D18*1.21+D19+D20+D87*1.21+D96+D31+D108*1.105</f>
        <v>67180.208333333328</v>
      </c>
      <c r="E114" s="23">
        <f t="shared" si="254"/>
        <v>551679.55315528228</v>
      </c>
      <c r="F114" s="23">
        <f t="shared" si="254"/>
        <v>625128.74179874081</v>
      </c>
      <c r="G114" s="23">
        <f t="shared" si="254"/>
        <v>702060.59260327229</v>
      </c>
      <c r="H114" s="23">
        <f t="shared" si="254"/>
        <v>600736.27869612887</v>
      </c>
      <c r="I114" s="23">
        <f t="shared" si="254"/>
        <v>746420.50941068004</v>
      </c>
      <c r="J114" s="23">
        <f t="shared" si="254"/>
        <v>1020672.6550010402</v>
      </c>
      <c r="K114" s="23">
        <f t="shared" si="254"/>
        <v>801103.01158057945</v>
      </c>
      <c r="L114" s="23">
        <f t="shared" si="254"/>
        <v>981578.52535382647</v>
      </c>
      <c r="M114" s="23">
        <f t="shared" si="254"/>
        <v>1162022.2753307282</v>
      </c>
      <c r="N114" s="23">
        <f t="shared" si="254"/>
        <v>1673934.5628133826</v>
      </c>
      <c r="O114" s="23">
        <f t="shared" si="254"/>
        <v>1612106.8639927742</v>
      </c>
      <c r="P114" s="23">
        <f t="shared" si="254"/>
        <v>2672007.9512210549</v>
      </c>
      <c r="Q114" s="28">
        <f t="shared" si="249"/>
        <v>13216631.729290824</v>
      </c>
      <c r="S114" s="2" t="s">
        <v>57</v>
      </c>
      <c r="T114" s="23">
        <f t="shared" ref="T114:AE114" si="255">T14*1.21+T15*1.21+T16+T17+T18*1.21+T19+T20+T87*1.21+T96+T31</f>
        <v>898026.13029676315</v>
      </c>
      <c r="U114" s="23">
        <f t="shared" si="255"/>
        <v>1010316.8735566731</v>
      </c>
      <c r="V114" s="23">
        <f t="shared" si="255"/>
        <v>1121563.2236244089</v>
      </c>
      <c r="W114" s="23">
        <f t="shared" si="255"/>
        <v>960273.76987389894</v>
      </c>
      <c r="X114" s="23">
        <f t="shared" si="255"/>
        <v>1207825.7575762605</v>
      </c>
      <c r="Y114" s="23">
        <f t="shared" si="255"/>
        <v>1636390.5699533327</v>
      </c>
      <c r="Z114" s="23">
        <f t="shared" si="255"/>
        <v>1290912.1253314859</v>
      </c>
      <c r="AA114" s="23">
        <f t="shared" si="255"/>
        <v>1568871.7382204283</v>
      </c>
      <c r="AB114" s="23">
        <f t="shared" si="255"/>
        <v>1834991.947000378</v>
      </c>
      <c r="AC114" s="23">
        <f t="shared" si="255"/>
        <v>2740713.7751467833</v>
      </c>
      <c r="AD114" s="23">
        <f t="shared" si="255"/>
        <v>2474688.1027915068</v>
      </c>
      <c r="AE114" s="23">
        <f t="shared" si="255"/>
        <v>4226878.6152573684</v>
      </c>
      <c r="AF114" s="23">
        <f t="shared" si="251"/>
        <v>20971452.628629286</v>
      </c>
      <c r="AH114" s="2" t="s">
        <v>57</v>
      </c>
      <c r="AI114" s="23">
        <f t="shared" ref="AI114:AT114" si="256">AI14*1.21+AI15*1.21+AI16+AI17+AI18*1.21+AI19+AI20+AI87*1.21+AI96+AI31</f>
        <v>1446316.9266155041</v>
      </c>
      <c r="AJ114" s="23">
        <f t="shared" si="256"/>
        <v>1622123.7372365883</v>
      </c>
      <c r="AK114" s="23">
        <f t="shared" si="256"/>
        <v>1787797.1767917778</v>
      </c>
      <c r="AL114" s="23">
        <f t="shared" si="256"/>
        <v>1526759.3612858709</v>
      </c>
      <c r="AM114" s="23">
        <f t="shared" si="256"/>
        <v>1947464.2949650348</v>
      </c>
      <c r="AN114" s="23">
        <f t="shared" si="256"/>
        <v>2630827.8738542092</v>
      </c>
      <c r="AO114" s="23">
        <f t="shared" si="256"/>
        <v>2073280.8570285928</v>
      </c>
      <c r="AP114" s="23">
        <f t="shared" si="256"/>
        <v>2511193.6863091025</v>
      </c>
      <c r="AQ114" s="23">
        <f t="shared" si="256"/>
        <v>2914837.0418180777</v>
      </c>
      <c r="AR114" s="23">
        <f t="shared" si="256"/>
        <v>4497129.2769780383</v>
      </c>
      <c r="AS114" s="23">
        <f t="shared" si="256"/>
        <v>3851783.3327417788</v>
      </c>
      <c r="AT114" s="23">
        <f t="shared" si="256"/>
        <v>6771145.7221970819</v>
      </c>
      <c r="AU114" s="23">
        <f t="shared" si="253"/>
        <v>33580659.287821651</v>
      </c>
      <c r="AX114" s="25">
        <f>+AF114/Q114-1</f>
        <v>0.58674714240180825</v>
      </c>
      <c r="AY114" s="25">
        <f>+AU114/AF114-1</f>
        <v>0.6012557586010443</v>
      </c>
    </row>
    <row r="115" spans="2:51" x14ac:dyDescent="0.2">
      <c r="C115" s="40" t="s">
        <v>62</v>
      </c>
      <c r="D115" s="23">
        <f>+D113-D114</f>
        <v>-67180.208333333328</v>
      </c>
      <c r="E115" s="23">
        <f>+E113-E114</f>
        <v>-22603.610221282346</v>
      </c>
      <c r="F115" s="23">
        <f t="shared" ref="F115:P115" si="257">+F113-F114</f>
        <v>13.770041259238496</v>
      </c>
      <c r="G115" s="23">
        <f t="shared" si="257"/>
        <v>24718.323987727752</v>
      </c>
      <c r="H115" s="23">
        <f t="shared" si="257"/>
        <v>-5465.7543861288577</v>
      </c>
      <c r="I115" s="23">
        <f t="shared" si="257"/>
        <v>35439.435224320041</v>
      </c>
      <c r="J115" s="23">
        <f t="shared" si="257"/>
        <v>118411.60631395981</v>
      </c>
      <c r="K115" s="23">
        <f t="shared" si="257"/>
        <v>50867.996268920484</v>
      </c>
      <c r="L115" s="23">
        <f t="shared" si="257"/>
        <v>106116.4629838235</v>
      </c>
      <c r="M115" s="23">
        <f t="shared" si="257"/>
        <v>163233.8098992717</v>
      </c>
      <c r="N115" s="23">
        <f t="shared" si="257"/>
        <v>301254.51728161727</v>
      </c>
      <c r="O115" s="23">
        <f t="shared" si="257"/>
        <v>309541.58478190936</v>
      </c>
      <c r="P115" s="23">
        <f t="shared" si="257"/>
        <v>610147.15314035956</v>
      </c>
      <c r="Q115" s="28">
        <f t="shared" si="249"/>
        <v>1624495.0869824241</v>
      </c>
      <c r="S115" s="2" t="s">
        <v>62</v>
      </c>
      <c r="T115" s="23">
        <f>+T113-T114</f>
        <v>-41323.079215963022</v>
      </c>
      <c r="U115" s="23">
        <f t="shared" ref="U115:AE115" si="258">+U113-U114</f>
        <v>-7403.8459786729654</v>
      </c>
      <c r="V115" s="23">
        <f t="shared" si="258"/>
        <v>27553.953034791164</v>
      </c>
      <c r="W115" s="23">
        <f t="shared" si="258"/>
        <v>-19809.148546899087</v>
      </c>
      <c r="X115" s="23">
        <f t="shared" si="258"/>
        <v>49689.604103239486</v>
      </c>
      <c r="Y115" s="23">
        <f t="shared" si="258"/>
        <v>177171.10008216742</v>
      </c>
      <c r="Z115" s="23">
        <f t="shared" si="258"/>
        <v>71866.559162663762</v>
      </c>
      <c r="AA115" s="23">
        <f t="shared" si="258"/>
        <v>155394.04325357662</v>
      </c>
      <c r="AB115" s="23">
        <f t="shared" si="258"/>
        <v>237852.05569062172</v>
      </c>
      <c r="AC115" s="23">
        <f t="shared" si="258"/>
        <v>485268.29951471603</v>
      </c>
      <c r="AD115" s="23">
        <f t="shared" si="258"/>
        <v>441373.43865583977</v>
      </c>
      <c r="AE115" s="23">
        <f t="shared" si="258"/>
        <v>937347.04941545799</v>
      </c>
      <c r="AF115" s="23">
        <f t="shared" si="251"/>
        <v>2514980.029171539</v>
      </c>
      <c r="AH115" s="2" t="s">
        <v>62</v>
      </c>
      <c r="AI115" s="23">
        <f>+AI113-AI114</f>
        <v>-41193.002066544257</v>
      </c>
      <c r="AJ115" s="23">
        <f t="shared" ref="AJ115" si="259">+AJ113-AJ114</f>
        <v>11033.31858601165</v>
      </c>
      <c r="AK115" s="23">
        <f t="shared" ref="AK115" si="260">+AK113-AK114</f>
        <v>62013.64567426173</v>
      </c>
      <c r="AL115" s="23">
        <f t="shared" ref="AL115" si="261">+AL113-AL114</f>
        <v>-13763.829029971035</v>
      </c>
      <c r="AM115" s="23">
        <f t="shared" ref="AM115" si="262">+AM113-AM114</f>
        <v>104335.96685011522</v>
      </c>
      <c r="AN115" s="23">
        <f t="shared" ref="AN115" si="263">+AN113-AN114</f>
        <v>304769.07616614085</v>
      </c>
      <c r="AO115" s="23">
        <f t="shared" ref="AO115" si="264">+AO113-AO114</f>
        <v>140756.4719914617</v>
      </c>
      <c r="AP115" s="23">
        <f t="shared" ref="AP115" si="265">+AP113-AP114</f>
        <v>270279.30375670595</v>
      </c>
      <c r="AQ115" s="23">
        <f t="shared" ref="AQ115" si="266">+AQ113-AQ114</f>
        <v>392888.15211662231</v>
      </c>
      <c r="AR115" s="23">
        <f t="shared" ref="AR115" si="267">+AR113-AR114</f>
        <v>828833.01614651084</v>
      </c>
      <c r="AS115" s="23">
        <f t="shared" ref="AS115" si="268">+AS113-AS114</f>
        <v>684632.3019551714</v>
      </c>
      <c r="AT115" s="23">
        <f t="shared" ref="AT115" si="269">+AT113-AT114</f>
        <v>1509512.2924568281</v>
      </c>
      <c r="AU115" s="23">
        <f t="shared" si="253"/>
        <v>4254096.7146033142</v>
      </c>
      <c r="AX115" s="25">
        <f>+AF115/Q115-1</f>
        <v>0.54816105590274966</v>
      </c>
      <c r="AY115" s="25">
        <f>+AU115/AF115-1</f>
        <v>0.6915031790549282</v>
      </c>
    </row>
    <row r="116" spans="2:51" x14ac:dyDescent="0.2">
      <c r="B116" s="100"/>
      <c r="C116" s="100" t="s">
        <v>61</v>
      </c>
      <c r="D116" s="28">
        <f>+D121</f>
        <v>0</v>
      </c>
      <c r="E116" s="28">
        <f>+E121</f>
        <v>17412.793852958013</v>
      </c>
      <c r="F116" s="28">
        <f t="shared" ref="F116:P116" si="270">+F121</f>
        <v>22243.424644700004</v>
      </c>
      <c r="G116" s="28">
        <f t="shared" si="270"/>
        <v>27387.360816517088</v>
      </c>
      <c r="H116" s="28">
        <f t="shared" si="270"/>
        <v>20807.86904000002</v>
      </c>
      <c r="I116" s="28">
        <f t="shared" si="270"/>
        <v>30060.829584800013</v>
      </c>
      <c r="J116" s="28">
        <f t="shared" si="270"/>
        <v>47975.137884800002</v>
      </c>
      <c r="K116" s="28">
        <f t="shared" si="270"/>
        <v>33381.962303900014</v>
      </c>
      <c r="L116" s="28">
        <f t="shared" si="270"/>
        <v>45224.486125700059</v>
      </c>
      <c r="M116" s="28">
        <f t="shared" si="270"/>
        <v>57220.909566799994</v>
      </c>
      <c r="N116" s="28">
        <f t="shared" si="270"/>
        <v>89259.971801000036</v>
      </c>
      <c r="O116" s="28">
        <f t="shared" si="270"/>
        <v>87462.579272931413</v>
      </c>
      <c r="P116" s="28">
        <f t="shared" si="270"/>
        <v>155179.16110915702</v>
      </c>
      <c r="Q116" s="28">
        <f>SUM(D116:P116)</f>
        <v>633616.48600326374</v>
      </c>
      <c r="R116" s="100"/>
      <c r="S116" s="113" t="s">
        <v>61</v>
      </c>
      <c r="T116" s="28">
        <f>+T121</f>
        <v>23699.86328354961</v>
      </c>
      <c r="U116" s="28">
        <f t="shared" ref="U116:AE116" si="271">+U121</f>
        <v>31030.343893640034</v>
      </c>
      <c r="V116" s="28">
        <f t="shared" si="271"/>
        <v>38405.073748415569</v>
      </c>
      <c r="W116" s="28">
        <f t="shared" si="271"/>
        <v>27988.568677999952</v>
      </c>
      <c r="X116" s="28">
        <f t="shared" si="271"/>
        <v>43710.804106760013</v>
      </c>
      <c r="Y116" s="28">
        <f t="shared" si="271"/>
        <v>71524.195306760026</v>
      </c>
      <c r="Z116" s="28">
        <f t="shared" si="271"/>
        <v>48575.934293180006</v>
      </c>
      <c r="AA116" s="28">
        <f t="shared" si="271"/>
        <v>66685.39198978999</v>
      </c>
      <c r="AB116" s="28">
        <f t="shared" si="271"/>
        <v>84230.103670159995</v>
      </c>
      <c r="AC116" s="28">
        <f t="shared" si="271"/>
        <v>141183.67974620004</v>
      </c>
      <c r="AD116" s="28">
        <f t="shared" si="271"/>
        <v>126844.73719368596</v>
      </c>
      <c r="AE116" s="28">
        <f t="shared" si="271"/>
        <v>238628.08018334187</v>
      </c>
      <c r="AF116" s="28">
        <f t="shared" si="251"/>
        <v>942506.77609348309</v>
      </c>
      <c r="AG116" s="100"/>
      <c r="AH116" s="113" t="s">
        <v>61</v>
      </c>
      <c r="AI116" s="28">
        <f>+AI121</f>
        <v>39265.548537259485</v>
      </c>
      <c r="AJ116" s="28">
        <f t="shared" ref="AJ116:AT116" si="272">+AJ121</f>
        <v>50669.45549136796</v>
      </c>
      <c r="AK116" s="28">
        <f t="shared" si="272"/>
        <v>61562.542279710178</v>
      </c>
      <c r="AL116" s="28">
        <f t="shared" si="272"/>
        <v>44776.840799600002</v>
      </c>
      <c r="AM116" s="28">
        <f t="shared" si="272"/>
        <v>71495.284031611984</v>
      </c>
      <c r="AN116" s="28">
        <f t="shared" si="272"/>
        <v>115608.92957961204</v>
      </c>
      <c r="AO116" s="28">
        <f t="shared" si="272"/>
        <v>79450.65082526597</v>
      </c>
      <c r="AP116" s="28">
        <f t="shared" si="272"/>
        <v>107809.329548963</v>
      </c>
      <c r="AQ116" s="28">
        <f t="shared" si="272"/>
        <v>134216.289602192</v>
      </c>
      <c r="AR116" s="28">
        <f t="shared" si="272"/>
        <v>234021.97326493985</v>
      </c>
      <c r="AS116" s="28">
        <f t="shared" si="272"/>
        <v>196105.72061990912</v>
      </c>
      <c r="AT116" s="28">
        <f t="shared" si="272"/>
        <v>382135.58834401146</v>
      </c>
      <c r="AU116" s="28">
        <f t="shared" si="253"/>
        <v>1517118.1529244431</v>
      </c>
      <c r="AV116" s="100"/>
      <c r="AW116" s="100"/>
      <c r="AX116" s="114"/>
      <c r="AY116" s="114"/>
    </row>
    <row r="117" spans="2:51" ht="15.75" x14ac:dyDescent="0.25">
      <c r="C117" s="57" t="s">
        <v>66</v>
      </c>
      <c r="D117" s="23">
        <f>+D115-D116</f>
        <v>-67180.208333333328</v>
      </c>
      <c r="E117" s="23">
        <f>+E115-E116</f>
        <v>-40016.404074240359</v>
      </c>
      <c r="F117" s="23">
        <f t="shared" ref="F117:P117" si="273">+F115-F116</f>
        <v>-22229.654603440766</v>
      </c>
      <c r="G117" s="23">
        <f t="shared" si="273"/>
        <v>-2669.0368287893361</v>
      </c>
      <c r="H117" s="23">
        <f t="shared" si="273"/>
        <v>-26273.623426128877</v>
      </c>
      <c r="I117" s="23">
        <f t="shared" si="273"/>
        <v>5378.6056395200285</v>
      </c>
      <c r="J117" s="23">
        <f t="shared" si="273"/>
        <v>70436.46842915981</v>
      </c>
      <c r="K117" s="23">
        <f t="shared" si="273"/>
        <v>17486.03396502047</v>
      </c>
      <c r="L117" s="23">
        <f t="shared" si="273"/>
        <v>60891.976858123438</v>
      </c>
      <c r="M117" s="23">
        <f t="shared" si="273"/>
        <v>106012.90033247171</v>
      </c>
      <c r="N117" s="23">
        <f t="shared" si="273"/>
        <v>211994.54548061723</v>
      </c>
      <c r="O117" s="23">
        <f t="shared" si="273"/>
        <v>222079.00550897795</v>
      </c>
      <c r="P117" s="23">
        <f t="shared" si="273"/>
        <v>454967.99203120254</v>
      </c>
      <c r="Q117" s="23">
        <f>SUM(D117:P117)</f>
        <v>990878.60097916052</v>
      </c>
      <c r="S117" s="7" t="s">
        <v>66</v>
      </c>
      <c r="T117" s="23">
        <f>+T115-T116</f>
        <v>-65022.942499512632</v>
      </c>
      <c r="U117" s="23">
        <f t="shared" ref="U117:AE117" si="274">+U115-U116</f>
        <v>-38434.189872313</v>
      </c>
      <c r="V117" s="23">
        <f t="shared" si="274"/>
        <v>-10851.120713624405</v>
      </c>
      <c r="W117" s="23">
        <f t="shared" si="274"/>
        <v>-47797.717224899039</v>
      </c>
      <c r="X117" s="23">
        <f t="shared" si="274"/>
        <v>5978.7999964794726</v>
      </c>
      <c r="Y117" s="23">
        <f t="shared" si="274"/>
        <v>105646.9047754074</v>
      </c>
      <c r="Z117" s="23">
        <f t="shared" si="274"/>
        <v>23290.624869483756</v>
      </c>
      <c r="AA117" s="23">
        <f t="shared" si="274"/>
        <v>88708.651263786625</v>
      </c>
      <c r="AB117" s="23">
        <f t="shared" si="274"/>
        <v>153621.95202046173</v>
      </c>
      <c r="AC117" s="23">
        <f t="shared" si="274"/>
        <v>344084.61976851599</v>
      </c>
      <c r="AD117" s="23">
        <f t="shared" si="274"/>
        <v>314528.70146215381</v>
      </c>
      <c r="AE117" s="23">
        <f t="shared" si="274"/>
        <v>698718.96923211613</v>
      </c>
      <c r="AF117" s="23">
        <f t="shared" si="251"/>
        <v>1572473.2530780558</v>
      </c>
      <c r="AH117" s="7" t="s">
        <v>66</v>
      </c>
      <c r="AI117" s="23">
        <f>+AI115-AI116</f>
        <v>-80458.550603803742</v>
      </c>
      <c r="AJ117" s="23">
        <f t="shared" ref="AJ117" si="275">+AJ115-AJ116</f>
        <v>-39636.13690535631</v>
      </c>
      <c r="AK117" s="23">
        <f t="shared" ref="AK117" si="276">+AK115-AK116</f>
        <v>451.1033945515519</v>
      </c>
      <c r="AL117" s="23">
        <f t="shared" ref="AL117" si="277">+AL115-AL116</f>
        <v>-58540.669829571038</v>
      </c>
      <c r="AM117" s="23">
        <f t="shared" ref="AM117" si="278">+AM115-AM116</f>
        <v>32840.682818503235</v>
      </c>
      <c r="AN117" s="23">
        <f t="shared" ref="AN117" si="279">+AN115-AN116</f>
        <v>189160.1465865288</v>
      </c>
      <c r="AO117" s="23">
        <f t="shared" ref="AO117" si="280">+AO115-AO116</f>
        <v>61305.821166195732</v>
      </c>
      <c r="AP117" s="23">
        <f t="shared" ref="AP117" si="281">+AP115-AP116</f>
        <v>162469.97420774295</v>
      </c>
      <c r="AQ117" s="23">
        <f t="shared" ref="AQ117" si="282">+AQ115-AQ116</f>
        <v>258671.86251443031</v>
      </c>
      <c r="AR117" s="23">
        <f t="shared" ref="AR117" si="283">+AR115-AR116</f>
        <v>594811.04288157099</v>
      </c>
      <c r="AS117" s="23">
        <f t="shared" ref="AS117" si="284">+AS115-AS116</f>
        <v>488526.58133526228</v>
      </c>
      <c r="AT117" s="23">
        <f t="shared" ref="AT117" si="285">+AT115-AT116</f>
        <v>1127376.7041128166</v>
      </c>
      <c r="AU117" s="23">
        <f t="shared" si="253"/>
        <v>2736978.5616788715</v>
      </c>
      <c r="AX117" s="25">
        <f>+AF117/Q117-1</f>
        <v>0.58694844305263882</v>
      </c>
      <c r="AY117" s="25">
        <f>+AU117/AF117-1</f>
        <v>0.74055651269192757</v>
      </c>
    </row>
    <row r="118" spans="2:51" x14ac:dyDescent="0.2">
      <c r="C118" s="40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S118" s="2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H118" s="2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</row>
    <row r="119" spans="2:51" x14ac:dyDescent="0.2">
      <c r="C119" s="40" t="s">
        <v>63</v>
      </c>
      <c r="D119" s="23">
        <f t="shared" ref="D119:P119" si="286">D7*0.21</f>
        <v>0</v>
      </c>
      <c r="E119" s="23">
        <f t="shared" si="286"/>
        <v>91823.097534</v>
      </c>
      <c r="F119" s="23">
        <f t="shared" si="286"/>
        <v>108495.80784000001</v>
      </c>
      <c r="G119" s="23">
        <f t="shared" si="286"/>
        <v>126135.1838711653</v>
      </c>
      <c r="H119" s="23">
        <f t="shared" si="286"/>
        <v>103311.41331</v>
      </c>
      <c r="I119" s="23">
        <f t="shared" si="286"/>
        <v>135694.70113500001</v>
      </c>
      <c r="J119" s="23">
        <f t="shared" si="286"/>
        <v>197692.30981500002</v>
      </c>
      <c r="K119" s="23">
        <f t="shared" si="286"/>
        <v>147862.73689949999</v>
      </c>
      <c r="L119" s="23">
        <f t="shared" si="286"/>
        <v>188773.51037265002</v>
      </c>
      <c r="M119" s="23">
        <f t="shared" si="286"/>
        <v>230003.12222999998</v>
      </c>
      <c r="N119" s="23">
        <f t="shared" si="286"/>
        <v>342801.41059499996</v>
      </c>
      <c r="O119" s="23">
        <f t="shared" si="286"/>
        <v>333509.23491130874</v>
      </c>
      <c r="P119" s="23">
        <f t="shared" si="286"/>
        <v>569630.22472388193</v>
      </c>
      <c r="Q119" s="23">
        <f t="shared" ref="Q119:Q121" si="287">SUM(E119:P119)</f>
        <v>2575732.7532375064</v>
      </c>
      <c r="S119" s="2" t="s">
        <v>63</v>
      </c>
      <c r="T119" s="23">
        <f t="shared" ref="T119:AE119" si="288">T7*0.21</f>
        <v>148684.00060080001</v>
      </c>
      <c r="U119" s="23">
        <f t="shared" si="288"/>
        <v>174059.28577800002</v>
      </c>
      <c r="V119" s="23">
        <f t="shared" si="288"/>
        <v>199433.55958548098</v>
      </c>
      <c r="W119" s="23">
        <f t="shared" si="288"/>
        <v>163221.13262699996</v>
      </c>
      <c r="X119" s="23">
        <f t="shared" si="288"/>
        <v>218246.4677295</v>
      </c>
      <c r="Y119" s="23">
        <f t="shared" si="288"/>
        <v>314750.3724855</v>
      </c>
      <c r="Z119" s="23">
        <f t="shared" si="288"/>
        <v>236515.30887914996</v>
      </c>
      <c r="AA119" s="23">
        <f t="shared" si="288"/>
        <v>299252.73893350497</v>
      </c>
      <c r="AB119" s="23">
        <f t="shared" si="288"/>
        <v>359749.78559099993</v>
      </c>
      <c r="AC119" s="23">
        <f t="shared" si="288"/>
        <v>559881.18651149992</v>
      </c>
      <c r="AD119" s="23">
        <f t="shared" si="288"/>
        <v>506093.32537515933</v>
      </c>
      <c r="AE119" s="23">
        <f t="shared" si="288"/>
        <v>896270.56990189536</v>
      </c>
      <c r="AF119" s="23">
        <f t="shared" si="251"/>
        <v>4076157.73399849</v>
      </c>
      <c r="AH119" s="2" t="s">
        <v>63</v>
      </c>
      <c r="AI119" s="23">
        <f t="shared" ref="AI119:AT119" si="289">AI7*0.21</f>
        <v>243864.48277295998</v>
      </c>
      <c r="AJ119" s="23">
        <f t="shared" si="289"/>
        <v>283440.48076259997</v>
      </c>
      <c r="AK119" s="23">
        <f t="shared" si="289"/>
        <v>321041.54770071758</v>
      </c>
      <c r="AL119" s="23">
        <f t="shared" si="289"/>
        <v>262586.00146589999</v>
      </c>
      <c r="AM119" s="23">
        <f t="shared" si="289"/>
        <v>356097.56610015</v>
      </c>
      <c r="AN119" s="23">
        <f t="shared" si="289"/>
        <v>509483.76818535</v>
      </c>
      <c r="AO119" s="23">
        <f t="shared" si="289"/>
        <v>384254.41247455491</v>
      </c>
      <c r="AP119" s="23">
        <f t="shared" si="289"/>
        <v>482734.98174695845</v>
      </c>
      <c r="AQ119" s="23">
        <f t="shared" si="289"/>
        <v>574068.00886469998</v>
      </c>
      <c r="AR119" s="23">
        <f t="shared" si="289"/>
        <v>924340.56326954975</v>
      </c>
      <c r="AS119" s="23">
        <f t="shared" si="289"/>
        <v>787311.80436889222</v>
      </c>
      <c r="AT119" s="23">
        <f t="shared" si="289"/>
        <v>1437138.9942787779</v>
      </c>
      <c r="AU119" s="23">
        <f t="shared" ref="AU119:AU121" si="290">SUM(AI119:AT119)</f>
        <v>6566362.6119911112</v>
      </c>
    </row>
    <row r="120" spans="2:51" x14ac:dyDescent="0.2">
      <c r="C120" s="40" t="s">
        <v>64</v>
      </c>
      <c r="D120" s="23">
        <f t="shared" ref="D120:P120" si="291">D14*0.21+D15*0.21+D18*0.21+D87*0.21</f>
        <v>0</v>
      </c>
      <c r="E120" s="23">
        <f t="shared" si="291"/>
        <v>74410.303681041987</v>
      </c>
      <c r="F120" s="23">
        <f t="shared" si="291"/>
        <v>86252.383195300004</v>
      </c>
      <c r="G120" s="23">
        <f t="shared" si="291"/>
        <v>98747.823054648208</v>
      </c>
      <c r="H120" s="23">
        <f t="shared" si="291"/>
        <v>82503.544269999984</v>
      </c>
      <c r="I120" s="23">
        <f t="shared" si="291"/>
        <v>105633.8715502</v>
      </c>
      <c r="J120" s="23">
        <f t="shared" si="291"/>
        <v>149717.17193020001</v>
      </c>
      <c r="K120" s="23">
        <f t="shared" si="291"/>
        <v>114480.77459559997</v>
      </c>
      <c r="L120" s="23">
        <f t="shared" si="291"/>
        <v>143549.02424694996</v>
      </c>
      <c r="M120" s="23">
        <f t="shared" si="291"/>
        <v>172782.21266319999</v>
      </c>
      <c r="N120" s="23">
        <f t="shared" si="291"/>
        <v>253541.43879399993</v>
      </c>
      <c r="O120" s="23">
        <f t="shared" si="291"/>
        <v>246046.65563837733</v>
      </c>
      <c r="P120" s="23">
        <f t="shared" si="291"/>
        <v>414451.0636147249</v>
      </c>
      <c r="Q120" s="23">
        <f t="shared" si="287"/>
        <v>1942116.2672342423</v>
      </c>
      <c r="S120" s="2" t="s">
        <v>64</v>
      </c>
      <c r="T120" s="23">
        <f t="shared" ref="T120:AE120" si="292">T14*0.21+T15*0.21+T18*0.21+T87*0.21</f>
        <v>124984.1373172504</v>
      </c>
      <c r="U120" s="23">
        <f t="shared" si="292"/>
        <v>143028.94188435999</v>
      </c>
      <c r="V120" s="23">
        <f t="shared" si="292"/>
        <v>161028.48583706541</v>
      </c>
      <c r="W120" s="23">
        <f t="shared" si="292"/>
        <v>135232.563949</v>
      </c>
      <c r="X120" s="23">
        <f t="shared" si="292"/>
        <v>174535.66362273999</v>
      </c>
      <c r="Y120" s="23">
        <f t="shared" si="292"/>
        <v>243226.17717873998</v>
      </c>
      <c r="Z120" s="23">
        <f t="shared" si="292"/>
        <v>187939.37458596996</v>
      </c>
      <c r="AA120" s="23">
        <f t="shared" si="292"/>
        <v>232567.34694371498</v>
      </c>
      <c r="AB120" s="23">
        <f t="shared" si="292"/>
        <v>275519.68192083994</v>
      </c>
      <c r="AC120" s="23">
        <f t="shared" si="292"/>
        <v>418697.50676529988</v>
      </c>
      <c r="AD120" s="23">
        <f t="shared" si="292"/>
        <v>379248.58818147337</v>
      </c>
      <c r="AE120" s="23">
        <f t="shared" si="292"/>
        <v>657642.48971855349</v>
      </c>
      <c r="AF120" s="23">
        <f t="shared" si="251"/>
        <v>3133650.9579050075</v>
      </c>
      <c r="AH120" s="2" t="s">
        <v>64</v>
      </c>
      <c r="AI120" s="23">
        <f t="shared" ref="AI120:AT120" si="293">AI14*0.21+AI15*0.21+AI18*0.21+AI87*0.21</f>
        <v>204598.93423570049</v>
      </c>
      <c r="AJ120" s="23">
        <f t="shared" si="293"/>
        <v>232771.02527123201</v>
      </c>
      <c r="AK120" s="23">
        <f t="shared" si="293"/>
        <v>259479.0054210074</v>
      </c>
      <c r="AL120" s="23">
        <f t="shared" si="293"/>
        <v>217809.16066629998</v>
      </c>
      <c r="AM120" s="23">
        <f t="shared" si="293"/>
        <v>284602.28206853801</v>
      </c>
      <c r="AN120" s="23">
        <f t="shared" si="293"/>
        <v>393874.83860573795</v>
      </c>
      <c r="AO120" s="23">
        <f t="shared" si="293"/>
        <v>304803.76164928894</v>
      </c>
      <c r="AP120" s="23">
        <f t="shared" si="293"/>
        <v>374925.65219799546</v>
      </c>
      <c r="AQ120" s="23">
        <f t="shared" si="293"/>
        <v>439851.71926250798</v>
      </c>
      <c r="AR120" s="23">
        <f t="shared" si="293"/>
        <v>690318.5900046099</v>
      </c>
      <c r="AS120" s="23">
        <f t="shared" si="293"/>
        <v>591206.0837489831</v>
      </c>
      <c r="AT120" s="23">
        <f t="shared" si="293"/>
        <v>1055003.4059347664</v>
      </c>
      <c r="AU120" s="23">
        <f t="shared" si="290"/>
        <v>5049244.4590666685</v>
      </c>
    </row>
    <row r="121" spans="2:51" ht="15.75" x14ac:dyDescent="0.25">
      <c r="C121" s="57" t="s">
        <v>65</v>
      </c>
      <c r="D121" s="23">
        <v>0</v>
      </c>
      <c r="E121" s="23">
        <f>+E119-E120</f>
        <v>17412.793852958013</v>
      </c>
      <c r="F121" s="23">
        <f t="shared" ref="F121:P121" si="294">+F119-F120</f>
        <v>22243.424644700004</v>
      </c>
      <c r="G121" s="23">
        <f t="shared" si="294"/>
        <v>27387.360816517088</v>
      </c>
      <c r="H121" s="23">
        <f t="shared" si="294"/>
        <v>20807.86904000002</v>
      </c>
      <c r="I121" s="23">
        <f t="shared" si="294"/>
        <v>30060.829584800013</v>
      </c>
      <c r="J121" s="23">
        <f t="shared" si="294"/>
        <v>47975.137884800002</v>
      </c>
      <c r="K121" s="23">
        <f t="shared" si="294"/>
        <v>33381.962303900014</v>
      </c>
      <c r="L121" s="23">
        <f t="shared" si="294"/>
        <v>45224.486125700059</v>
      </c>
      <c r="M121" s="23">
        <f t="shared" si="294"/>
        <v>57220.909566799994</v>
      </c>
      <c r="N121" s="23">
        <f t="shared" si="294"/>
        <v>89259.971801000036</v>
      </c>
      <c r="O121" s="23">
        <f t="shared" si="294"/>
        <v>87462.579272931413</v>
      </c>
      <c r="P121" s="23">
        <f t="shared" si="294"/>
        <v>155179.16110915702</v>
      </c>
      <c r="Q121" s="23">
        <f t="shared" si="287"/>
        <v>633616.48600326374</v>
      </c>
      <c r="S121" s="7" t="s">
        <v>65</v>
      </c>
      <c r="T121" s="23">
        <f>+T119-T120</f>
        <v>23699.86328354961</v>
      </c>
      <c r="U121" s="23">
        <f t="shared" ref="U121:AE121" si="295">+U119-U120</f>
        <v>31030.343893640034</v>
      </c>
      <c r="V121" s="23">
        <f t="shared" si="295"/>
        <v>38405.073748415569</v>
      </c>
      <c r="W121" s="23">
        <f t="shared" si="295"/>
        <v>27988.568677999952</v>
      </c>
      <c r="X121" s="23">
        <f t="shared" si="295"/>
        <v>43710.804106760013</v>
      </c>
      <c r="Y121" s="23">
        <f t="shared" si="295"/>
        <v>71524.195306760026</v>
      </c>
      <c r="Z121" s="23">
        <f t="shared" si="295"/>
        <v>48575.934293180006</v>
      </c>
      <c r="AA121" s="23">
        <f t="shared" si="295"/>
        <v>66685.39198978999</v>
      </c>
      <c r="AB121" s="23">
        <f t="shared" si="295"/>
        <v>84230.103670159995</v>
      </c>
      <c r="AC121" s="23">
        <f t="shared" si="295"/>
        <v>141183.67974620004</v>
      </c>
      <c r="AD121" s="23">
        <f t="shared" si="295"/>
        <v>126844.73719368596</v>
      </c>
      <c r="AE121" s="23">
        <f t="shared" si="295"/>
        <v>238628.08018334187</v>
      </c>
      <c r="AF121" s="23">
        <f t="shared" si="251"/>
        <v>942506.77609348309</v>
      </c>
      <c r="AH121" s="7" t="s">
        <v>65</v>
      </c>
      <c r="AI121" s="23">
        <f>+AI119-AI120</f>
        <v>39265.548537259485</v>
      </c>
      <c r="AJ121" s="23">
        <f t="shared" ref="AJ121" si="296">+AJ119-AJ120</f>
        <v>50669.45549136796</v>
      </c>
      <c r="AK121" s="23">
        <f t="shared" ref="AK121" si="297">+AK119-AK120</f>
        <v>61562.542279710178</v>
      </c>
      <c r="AL121" s="23">
        <f t="shared" ref="AL121" si="298">+AL119-AL120</f>
        <v>44776.840799600002</v>
      </c>
      <c r="AM121" s="23">
        <f t="shared" ref="AM121" si="299">+AM119-AM120</f>
        <v>71495.284031611984</v>
      </c>
      <c r="AN121" s="23">
        <f t="shared" ref="AN121" si="300">+AN119-AN120</f>
        <v>115608.92957961204</v>
      </c>
      <c r="AO121" s="23">
        <f t="shared" ref="AO121" si="301">+AO119-AO120</f>
        <v>79450.65082526597</v>
      </c>
      <c r="AP121" s="23">
        <f t="shared" ref="AP121" si="302">+AP119-AP120</f>
        <v>107809.329548963</v>
      </c>
      <c r="AQ121" s="23">
        <f t="shared" ref="AQ121" si="303">+AQ119-AQ120</f>
        <v>134216.289602192</v>
      </c>
      <c r="AR121" s="23">
        <f t="shared" ref="AR121" si="304">+AR119-AR120</f>
        <v>234021.97326493985</v>
      </c>
      <c r="AS121" s="23">
        <f t="shared" ref="AS121" si="305">+AS119-AS120</f>
        <v>196105.72061990912</v>
      </c>
      <c r="AT121" s="23">
        <f t="shared" ref="AT121" si="306">+AT119-AT120</f>
        <v>382135.58834401146</v>
      </c>
      <c r="AU121" s="23">
        <f t="shared" si="290"/>
        <v>1517118.1529244431</v>
      </c>
    </row>
    <row r="122" spans="2:51" x14ac:dyDescent="0.2"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:51" ht="12.75" customHeight="1" x14ac:dyDescent="0.2"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:51" hidden="1" x14ac:dyDescent="0.2">
      <c r="B124" s="23"/>
      <c r="C124" s="1" t="s">
        <v>82</v>
      </c>
      <c r="D124" s="115">
        <f>D117</f>
        <v>-67180.208333333328</v>
      </c>
      <c r="E124" s="115">
        <f t="shared" ref="E124:P124" si="307">E117</f>
        <v>-40016.404074240359</v>
      </c>
      <c r="F124" s="115">
        <f t="shared" si="307"/>
        <v>-22229.654603440766</v>
      </c>
      <c r="G124" s="115">
        <f t="shared" si="307"/>
        <v>-2669.0368287893361</v>
      </c>
      <c r="H124" s="115">
        <f t="shared" si="307"/>
        <v>-26273.623426128877</v>
      </c>
      <c r="I124" s="115">
        <f t="shared" si="307"/>
        <v>5378.6056395200285</v>
      </c>
      <c r="J124" s="115">
        <f t="shared" si="307"/>
        <v>70436.46842915981</v>
      </c>
      <c r="K124" s="115">
        <f t="shared" si="307"/>
        <v>17486.03396502047</v>
      </c>
      <c r="L124" s="115">
        <f t="shared" si="307"/>
        <v>60891.976858123438</v>
      </c>
      <c r="M124" s="115">
        <f t="shared" si="307"/>
        <v>106012.90033247171</v>
      </c>
      <c r="N124" s="115">
        <f t="shared" si="307"/>
        <v>211994.54548061723</v>
      </c>
      <c r="O124" s="115">
        <f t="shared" si="307"/>
        <v>222079.00550897795</v>
      </c>
      <c r="P124" s="115">
        <f t="shared" si="307"/>
        <v>454967.99203120254</v>
      </c>
      <c r="Q124" s="115">
        <f>T117</f>
        <v>-65022.942499512632</v>
      </c>
      <c r="R124" s="115">
        <f t="shared" ref="R124:AB124" si="308">U117</f>
        <v>-38434.189872313</v>
      </c>
      <c r="S124" s="115">
        <f t="shared" si="308"/>
        <v>-10851.120713624405</v>
      </c>
      <c r="T124" s="115">
        <f t="shared" si="308"/>
        <v>-47797.717224899039</v>
      </c>
      <c r="U124" s="115">
        <f t="shared" si="308"/>
        <v>5978.7999964794726</v>
      </c>
      <c r="V124" s="115">
        <f t="shared" si="308"/>
        <v>105646.9047754074</v>
      </c>
      <c r="W124" s="115">
        <f t="shared" si="308"/>
        <v>23290.624869483756</v>
      </c>
      <c r="X124" s="115">
        <f t="shared" si="308"/>
        <v>88708.651263786625</v>
      </c>
      <c r="Y124" s="115">
        <f t="shared" si="308"/>
        <v>153621.95202046173</v>
      </c>
      <c r="Z124" s="115">
        <f t="shared" si="308"/>
        <v>344084.61976851599</v>
      </c>
      <c r="AA124" s="115">
        <f t="shared" si="308"/>
        <v>314528.70146215381</v>
      </c>
      <c r="AB124" s="115">
        <f t="shared" si="308"/>
        <v>698718.96923211613</v>
      </c>
      <c r="AC124" s="116">
        <f>AI117</f>
        <v>-80458.550603803742</v>
      </c>
      <c r="AD124" s="116">
        <f t="shared" ref="AD124:AI124" si="309">AJ117</f>
        <v>-39636.13690535631</v>
      </c>
      <c r="AE124" s="116">
        <f t="shared" si="309"/>
        <v>451.1033945515519</v>
      </c>
      <c r="AF124" s="116">
        <f t="shared" si="309"/>
        <v>-58540.669829571038</v>
      </c>
      <c r="AG124" s="116">
        <f t="shared" si="309"/>
        <v>32840.682818503235</v>
      </c>
      <c r="AH124" s="116">
        <f t="shared" si="309"/>
        <v>189160.1465865288</v>
      </c>
      <c r="AI124" s="116">
        <f t="shared" si="309"/>
        <v>61305.821166195732</v>
      </c>
      <c r="AJ124" s="116">
        <f t="shared" ref="AJ124" si="310">AP117</f>
        <v>162469.97420774295</v>
      </c>
      <c r="AK124" s="116">
        <f t="shared" ref="AK124" si="311">AQ117</f>
        <v>258671.86251443031</v>
      </c>
      <c r="AL124" s="116">
        <f t="shared" ref="AL124" si="312">AR117</f>
        <v>594811.04288157099</v>
      </c>
      <c r="AM124" s="115">
        <f t="shared" ref="AM124" si="313">AS117</f>
        <v>488526.58133526228</v>
      </c>
      <c r="AN124" s="115">
        <f t="shared" ref="AN124" si="314">AT117</f>
        <v>1127376.7041128166</v>
      </c>
      <c r="AP124" s="2"/>
      <c r="AQ124" s="2"/>
      <c r="AR124" s="2"/>
      <c r="AS124" s="2"/>
      <c r="AT124" s="2"/>
    </row>
    <row r="125" spans="2:51" ht="15.75" x14ac:dyDescent="0.25">
      <c r="C125" s="117" t="s">
        <v>19</v>
      </c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9">
        <f>IRR(D124:AN124,Q56)</f>
        <v>0.2523740950887754</v>
      </c>
      <c r="AA125" s="2"/>
      <c r="AB125" s="2"/>
      <c r="AC125" s="2"/>
      <c r="AD125" s="2"/>
      <c r="AE125" s="2"/>
      <c r="AP125" s="2"/>
      <c r="AQ125" s="2"/>
      <c r="AR125" s="2"/>
      <c r="AS125" s="2"/>
      <c r="AT125" s="2"/>
    </row>
    <row r="126" spans="2:51" x14ac:dyDescent="0.2">
      <c r="C126" s="120" t="s">
        <v>93</v>
      </c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2">
        <f>NPV(Q56,E124:AN124)+D124</f>
        <v>2732247.7535929387</v>
      </c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2:51" x14ac:dyDescent="0.2">
      <c r="D127" s="123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</sheetData>
  <mergeCells count="1">
    <mergeCell ref="C56:C57"/>
  </mergeCells>
  <pageMargins left="0.75" right="0.75" top="1" bottom="1" header="0.5" footer="0.5"/>
  <pageSetup paperSize="9" orientation="portrait" horizontalDpi="4294967292" verticalDpi="4294967292" r:id="rId1"/>
  <ignoredErrors>
    <ignoredError sqref="D14:D16" emptyCellReference="1"/>
    <ignoredError sqref="Q108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2:BI63"/>
  <sheetViews>
    <sheetView showGridLines="0" topLeftCell="Q1" zoomScale="75" zoomScaleNormal="75" workbookViewId="0">
      <selection activeCell="BE17" sqref="BE17"/>
    </sheetView>
  </sheetViews>
  <sheetFormatPr baseColWidth="10" defaultColWidth="11.125" defaultRowHeight="15" x14ac:dyDescent="0.2"/>
  <cols>
    <col min="1" max="1" width="12.5" style="1" hidden="1" customWidth="1"/>
    <col min="2" max="2" width="17.375" style="1" hidden="1" customWidth="1"/>
    <col min="3" max="3" width="22.375" style="1" hidden="1" customWidth="1"/>
    <col min="4" max="4" width="11.875" style="1" hidden="1" customWidth="1"/>
    <col min="5" max="12" width="0" style="1" hidden="1" customWidth="1"/>
    <col min="13" max="16" width="11.5" style="1" hidden="1" customWidth="1"/>
    <col min="17" max="17" width="4" style="1" customWidth="1"/>
    <col min="18" max="18" width="21.125" style="1" bestFit="1" customWidth="1"/>
    <col min="19" max="19" width="17" style="1" bestFit="1" customWidth="1"/>
    <col min="20" max="23" width="18.125" style="1" bestFit="1" customWidth="1"/>
    <col min="24" max="26" width="11.625" style="1" bestFit="1" customWidth="1"/>
    <col min="27" max="30" width="12.75" style="1" bestFit="1" customWidth="1"/>
    <col min="31" max="31" width="14" style="1" bestFit="1" customWidth="1"/>
    <col min="32" max="32" width="4.125" style="1" customWidth="1"/>
    <col min="33" max="33" width="17.5" style="1" bestFit="1" customWidth="1"/>
    <col min="34" max="34" width="14.5" style="1" bestFit="1" customWidth="1"/>
    <col min="35" max="37" width="11.625" style="1" bestFit="1" customWidth="1"/>
    <col min="38" max="45" width="12.75" style="1" bestFit="1" customWidth="1"/>
    <col min="46" max="46" width="14" style="1" bestFit="1" customWidth="1"/>
    <col min="47" max="47" width="11.125" style="1"/>
    <col min="48" max="48" width="21" style="1" bestFit="1" customWidth="1"/>
    <col min="49" max="60" width="12.75" style="1" bestFit="1" customWidth="1"/>
    <col min="61" max="61" width="14" style="1" bestFit="1" customWidth="1"/>
    <col min="62" max="16384" width="11.125" style="1"/>
  </cols>
  <sheetData>
    <row r="2" spans="2:61" x14ac:dyDescent="0.2">
      <c r="R2" s="1" t="s">
        <v>121</v>
      </c>
    </row>
    <row r="4" spans="2:61" ht="15.75" thickBot="1" x14ac:dyDescent="0.25">
      <c r="C4" s="1" t="s">
        <v>73</v>
      </c>
    </row>
    <row r="5" spans="2:61" ht="15.75" thickBot="1" x14ac:dyDescent="0.25"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R5" s="124">
        <v>2018</v>
      </c>
      <c r="S5" s="1">
        <v>1</v>
      </c>
      <c r="T5" s="1">
        <v>2</v>
      </c>
      <c r="U5" s="1">
        <v>3</v>
      </c>
      <c r="V5" s="1">
        <v>4</v>
      </c>
      <c r="W5" s="1">
        <v>5</v>
      </c>
      <c r="X5" s="1">
        <v>6</v>
      </c>
      <c r="Y5" s="1">
        <v>7</v>
      </c>
      <c r="Z5" s="1">
        <v>8</v>
      </c>
      <c r="AA5" s="1">
        <v>9</v>
      </c>
      <c r="AB5" s="1">
        <v>10</v>
      </c>
      <c r="AC5" s="1">
        <v>11</v>
      </c>
      <c r="AD5" s="1">
        <v>12</v>
      </c>
      <c r="AE5" s="125" t="s">
        <v>0</v>
      </c>
      <c r="AG5" s="124">
        <v>2019</v>
      </c>
      <c r="AH5" s="1">
        <v>1</v>
      </c>
      <c r="AI5" s="1">
        <v>2</v>
      </c>
      <c r="AJ5" s="1">
        <v>3</v>
      </c>
      <c r="AK5" s="1">
        <v>4</v>
      </c>
      <c r="AL5" s="1">
        <v>5</v>
      </c>
      <c r="AM5" s="1">
        <v>6</v>
      </c>
      <c r="AN5" s="1">
        <v>7</v>
      </c>
      <c r="AO5" s="1">
        <v>8</v>
      </c>
      <c r="AP5" s="1">
        <v>9</v>
      </c>
      <c r="AQ5" s="1">
        <v>10</v>
      </c>
      <c r="AR5" s="1">
        <v>11</v>
      </c>
      <c r="AS5" s="1">
        <v>12</v>
      </c>
      <c r="AT5" s="126" t="s">
        <v>0</v>
      </c>
      <c r="AV5" s="124">
        <v>2020</v>
      </c>
      <c r="AW5" s="1">
        <v>1</v>
      </c>
      <c r="AX5" s="1">
        <v>2</v>
      </c>
      <c r="AY5" s="1">
        <v>3</v>
      </c>
      <c r="AZ5" s="1">
        <v>4</v>
      </c>
      <c r="BA5" s="1">
        <v>5</v>
      </c>
      <c r="BB5" s="1">
        <v>6</v>
      </c>
      <c r="BC5" s="1">
        <v>7</v>
      </c>
      <c r="BD5" s="1">
        <v>8</v>
      </c>
      <c r="BE5" s="1">
        <v>9</v>
      </c>
      <c r="BF5" s="1">
        <v>10</v>
      </c>
      <c r="BG5" s="1">
        <v>11</v>
      </c>
      <c r="BH5" s="1">
        <v>12</v>
      </c>
      <c r="BI5" s="126" t="s">
        <v>0</v>
      </c>
    </row>
    <row r="6" spans="2:61" ht="15.75" x14ac:dyDescent="0.25">
      <c r="B6" s="1" t="s">
        <v>60</v>
      </c>
      <c r="C6" s="127" t="s">
        <v>44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 t="s">
        <v>0</v>
      </c>
      <c r="R6" s="127" t="s">
        <v>44</v>
      </c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G6" s="127" t="s">
        <v>44</v>
      </c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V6" s="127" t="s">
        <v>44</v>
      </c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</row>
    <row r="7" spans="2:61" x14ac:dyDescent="0.2">
      <c r="B7" s="129"/>
      <c r="C7" s="128" t="s">
        <v>36</v>
      </c>
      <c r="D7" s="130">
        <f t="shared" ref="D7:O7" si="0">D8/D37</f>
        <v>1293.232</v>
      </c>
      <c r="E7" s="130">
        <f t="shared" si="0"/>
        <v>1473.5640000000001</v>
      </c>
      <c r="F7" s="130">
        <f t="shared" si="0"/>
        <v>1614.8933884297521</v>
      </c>
      <c r="G7" s="130">
        <f t="shared" si="0"/>
        <v>1318.4659999999999</v>
      </c>
      <c r="H7" s="130">
        <f t="shared" si="0"/>
        <v>1861.521</v>
      </c>
      <c r="I7" s="130">
        <f t="shared" si="0"/>
        <v>2604.1689999999999</v>
      </c>
      <c r="J7" s="130">
        <f t="shared" si="0"/>
        <v>1984.7157</v>
      </c>
      <c r="K7" s="130">
        <f t="shared" si="0"/>
        <v>2443.0847899999999</v>
      </c>
      <c r="L7" s="130">
        <f t="shared" si="0"/>
        <v>2813.3380000000002</v>
      </c>
      <c r="M7" s="130">
        <f t="shared" si="0"/>
        <v>4989.317</v>
      </c>
      <c r="N7" s="130">
        <f t="shared" si="0"/>
        <v>3556.9746697434744</v>
      </c>
      <c r="O7" s="130">
        <f t="shared" si="0"/>
        <v>7145.8570667082286</v>
      </c>
      <c r="P7" s="131">
        <f>+SUM(D7:O7)</f>
        <v>33099.132614881455</v>
      </c>
      <c r="R7" s="128" t="s">
        <v>36</v>
      </c>
      <c r="S7" s="192">
        <f t="shared" ref="S7:AD7" si="1">S8/S37</f>
        <v>2024.1892173913045</v>
      </c>
      <c r="T7" s="192">
        <f t="shared" si="1"/>
        <v>2306.4480000000003</v>
      </c>
      <c r="U7" s="192">
        <f t="shared" si="1"/>
        <v>2527.6592166726555</v>
      </c>
      <c r="V7" s="192">
        <f t="shared" si="1"/>
        <v>2063.6859130434786</v>
      </c>
      <c r="W7" s="192">
        <f t="shared" si="1"/>
        <v>2913.6850434782609</v>
      </c>
      <c r="X7" s="192">
        <f t="shared" si="1"/>
        <v>4076.0906086956525</v>
      </c>
      <c r="Y7" s="192">
        <f t="shared" si="1"/>
        <v>3106.5115304347823</v>
      </c>
      <c r="Z7" s="192">
        <f t="shared" si="1"/>
        <v>3823.9588017391306</v>
      </c>
      <c r="AA7" s="192">
        <f t="shared" si="1"/>
        <v>4403.4855652173919</v>
      </c>
      <c r="AB7" s="192">
        <f t="shared" si="1"/>
        <v>7809.3657391304341</v>
      </c>
      <c r="AC7" s="192">
        <f t="shared" si="1"/>
        <v>5567.4386135115255</v>
      </c>
      <c r="AD7" s="192">
        <f t="shared" si="1"/>
        <v>11184.819756586792</v>
      </c>
      <c r="AE7" s="131">
        <f>+SUM(S7:AD7)</f>
        <v>51807.338005901416</v>
      </c>
      <c r="AG7" s="128" t="s">
        <v>36</v>
      </c>
      <c r="AH7" s="192">
        <f t="shared" ref="AH7:AS7" si="2">AH8/AH37</f>
        <v>3128.2924268774705</v>
      </c>
      <c r="AI7" s="192">
        <f t="shared" si="2"/>
        <v>3564.5105454545455</v>
      </c>
      <c r="AJ7" s="192">
        <f t="shared" si="2"/>
        <v>3906.3824257668316</v>
      </c>
      <c r="AK7" s="192">
        <f t="shared" si="2"/>
        <v>3189.3327747035578</v>
      </c>
      <c r="AL7" s="192">
        <f t="shared" si="2"/>
        <v>4502.9677944664036</v>
      </c>
      <c r="AM7" s="192">
        <f t="shared" si="2"/>
        <v>6299.4127588932806</v>
      </c>
      <c r="AN7" s="192">
        <f t="shared" si="2"/>
        <v>4800.9723652173907</v>
      </c>
      <c r="AO7" s="192">
        <f t="shared" si="2"/>
        <v>5909.7545117786567</v>
      </c>
      <c r="AP7" s="192">
        <f t="shared" si="2"/>
        <v>6805.3867826086962</v>
      </c>
      <c r="AQ7" s="192">
        <f t="shared" si="2"/>
        <v>12069.019778656126</v>
      </c>
      <c r="AR7" s="192">
        <f t="shared" si="2"/>
        <v>8604.2233117905398</v>
      </c>
      <c r="AS7" s="192">
        <f t="shared" si="2"/>
        <v>17285.63053290686</v>
      </c>
      <c r="AT7" s="131">
        <f>+SUM(AH7:AS7)</f>
        <v>80065.886009120368</v>
      </c>
      <c r="AV7" s="128" t="s">
        <v>36</v>
      </c>
      <c r="AW7" s="192">
        <f t="shared" ref="AW7:BH7" si="3">AW8/AW37</f>
        <v>4834.6337506288182</v>
      </c>
      <c r="AX7" s="192">
        <f t="shared" si="3"/>
        <v>5508.7890247933883</v>
      </c>
      <c r="AY7" s="192">
        <f t="shared" si="3"/>
        <v>6037.1364761851028</v>
      </c>
      <c r="AZ7" s="192">
        <f t="shared" si="3"/>
        <v>4928.9688336327708</v>
      </c>
      <c r="BA7" s="192">
        <f t="shared" si="3"/>
        <v>6959.1320459935323</v>
      </c>
      <c r="BB7" s="192">
        <f t="shared" si="3"/>
        <v>9735.4560819259787</v>
      </c>
      <c r="BC7" s="192">
        <f t="shared" si="3"/>
        <v>7419.684564426876</v>
      </c>
      <c r="BD7" s="192">
        <f t="shared" si="3"/>
        <v>9133.2569727488335</v>
      </c>
      <c r="BE7" s="192">
        <f t="shared" si="3"/>
        <v>10517.415936758895</v>
      </c>
      <c r="BF7" s="192">
        <f t="shared" si="3"/>
        <v>18652.121476104923</v>
      </c>
      <c r="BG7" s="192">
        <f t="shared" si="3"/>
        <v>13297.436027312651</v>
      </c>
      <c r="BH7" s="192">
        <f t="shared" si="3"/>
        <v>26714.156278128783</v>
      </c>
      <c r="BI7" s="131">
        <f>+SUM(AW7:BH7)</f>
        <v>123738.18746864055</v>
      </c>
    </row>
    <row r="8" spans="2:61" ht="15.75" x14ac:dyDescent="0.25">
      <c r="B8" s="132"/>
      <c r="C8" s="127" t="s">
        <v>37</v>
      </c>
      <c r="D8" s="133">
        <v>1293232</v>
      </c>
      <c r="E8" s="133">
        <v>1473564</v>
      </c>
      <c r="F8" s="133">
        <v>1614893.3884297521</v>
      </c>
      <c r="G8" s="133">
        <v>1318466</v>
      </c>
      <c r="H8" s="133">
        <v>1861521</v>
      </c>
      <c r="I8" s="133">
        <v>2604169</v>
      </c>
      <c r="J8" s="133">
        <v>1984715.7</v>
      </c>
      <c r="K8" s="133">
        <v>2443084.79</v>
      </c>
      <c r="L8" s="133">
        <v>2813338</v>
      </c>
      <c r="M8" s="133">
        <v>4989317</v>
      </c>
      <c r="N8" s="133">
        <v>3556974.6697434746</v>
      </c>
      <c r="O8" s="133">
        <v>7145857.0667082286</v>
      </c>
      <c r="P8" s="134">
        <f>+SUM(D8:O8)</f>
        <v>33099132.614881456</v>
      </c>
      <c r="R8" s="127" t="s">
        <v>37</v>
      </c>
      <c r="S8" s="193">
        <v>2327817.6</v>
      </c>
      <c r="T8" s="193">
        <v>2652415.2000000002</v>
      </c>
      <c r="U8" s="193">
        <v>2906808.0991735538</v>
      </c>
      <c r="V8" s="193">
        <v>2373238.8000000003</v>
      </c>
      <c r="W8" s="193">
        <v>3350737.8000000003</v>
      </c>
      <c r="X8" s="193">
        <v>4687504.2</v>
      </c>
      <c r="Y8" s="193">
        <v>3572488.26</v>
      </c>
      <c r="Z8" s="193">
        <v>4397552.6220000004</v>
      </c>
      <c r="AA8" s="193">
        <v>5064008.4000000004</v>
      </c>
      <c r="AB8" s="193">
        <v>8980770.5999999996</v>
      </c>
      <c r="AC8" s="193">
        <v>6402554.4055382544</v>
      </c>
      <c r="AD8" s="193">
        <v>12862542.720074812</v>
      </c>
      <c r="AE8" s="134">
        <f>+SUM(S8:AD8)</f>
        <v>59578438.706786618</v>
      </c>
      <c r="AG8" s="127" t="s">
        <v>37</v>
      </c>
      <c r="AH8" s="193">
        <f t="shared" ref="AH8:AS8" si="4">S8*$AH$17</f>
        <v>3957289.92</v>
      </c>
      <c r="AI8" s="193">
        <f t="shared" si="4"/>
        <v>4509105.84</v>
      </c>
      <c r="AJ8" s="193">
        <f t="shared" si="4"/>
        <v>4941573.7685950417</v>
      </c>
      <c r="AK8" s="193">
        <f t="shared" si="4"/>
        <v>4034505.9600000004</v>
      </c>
      <c r="AL8" s="193">
        <f t="shared" si="4"/>
        <v>5696254.2600000007</v>
      </c>
      <c r="AM8" s="193">
        <f t="shared" si="4"/>
        <v>7968757.1399999997</v>
      </c>
      <c r="AN8" s="193">
        <f t="shared" si="4"/>
        <v>6073230.0419999994</v>
      </c>
      <c r="AO8" s="193">
        <f t="shared" si="4"/>
        <v>7475839.4574000007</v>
      </c>
      <c r="AP8" s="193">
        <f t="shared" si="4"/>
        <v>8608814.2800000012</v>
      </c>
      <c r="AQ8" s="193">
        <f t="shared" si="4"/>
        <v>15267310.02</v>
      </c>
      <c r="AR8" s="193">
        <f t="shared" si="4"/>
        <v>10884342.489415033</v>
      </c>
      <c r="AS8" s="193">
        <f t="shared" si="4"/>
        <v>21866322.624127179</v>
      </c>
      <c r="AT8" s="134">
        <f>+SUM(AH8:AS8)</f>
        <v>101283345.80153726</v>
      </c>
      <c r="AV8" s="127" t="s">
        <v>37</v>
      </c>
      <c r="AW8" s="193">
        <f>AH8*$AW$17</f>
        <v>6727392.8640000001</v>
      </c>
      <c r="AX8" s="193">
        <f t="shared" ref="AX8:BH8" si="5">AI8*$AH$17</f>
        <v>7665479.9279999994</v>
      </c>
      <c r="AY8" s="193">
        <f t="shared" si="5"/>
        <v>8400675.4066115711</v>
      </c>
      <c r="AZ8" s="193">
        <f t="shared" si="5"/>
        <v>6858660.1320000002</v>
      </c>
      <c r="BA8" s="193">
        <f t="shared" si="5"/>
        <v>9683632.2420000006</v>
      </c>
      <c r="BB8" s="193">
        <f t="shared" si="5"/>
        <v>13546887.137999998</v>
      </c>
      <c r="BC8" s="193">
        <f t="shared" si="5"/>
        <v>10324491.071399998</v>
      </c>
      <c r="BD8" s="193">
        <f t="shared" si="5"/>
        <v>12708927.077580001</v>
      </c>
      <c r="BE8" s="193">
        <f t="shared" si="5"/>
        <v>14634984.276000002</v>
      </c>
      <c r="BF8" s="193">
        <f t="shared" si="5"/>
        <v>25954427.033999998</v>
      </c>
      <c r="BG8" s="193">
        <f t="shared" si="5"/>
        <v>18503382.232005555</v>
      </c>
      <c r="BH8" s="193">
        <f t="shared" si="5"/>
        <v>37172748.4610162</v>
      </c>
      <c r="BI8" s="134">
        <f>+SUM(AW8:BH8)</f>
        <v>172181687.86261335</v>
      </c>
    </row>
    <row r="9" spans="2:61" ht="15.75" x14ac:dyDescent="0.25">
      <c r="B9" s="132"/>
      <c r="C9" s="135">
        <v>0.15</v>
      </c>
      <c r="D9" s="133">
        <f t="shared" ref="D9:O9" si="6">D8*$C$9</f>
        <v>193984.8</v>
      </c>
      <c r="E9" s="133">
        <f t="shared" si="6"/>
        <v>221034.6</v>
      </c>
      <c r="F9" s="133">
        <f t="shared" si="6"/>
        <v>242234.00826446281</v>
      </c>
      <c r="G9" s="133">
        <f t="shared" si="6"/>
        <v>197769.9</v>
      </c>
      <c r="H9" s="133">
        <f t="shared" si="6"/>
        <v>279228.14999999997</v>
      </c>
      <c r="I9" s="133">
        <f t="shared" si="6"/>
        <v>390625.35</v>
      </c>
      <c r="J9" s="133">
        <f t="shared" si="6"/>
        <v>297707.35499999998</v>
      </c>
      <c r="K9" s="133">
        <f t="shared" si="6"/>
        <v>366462.71850000002</v>
      </c>
      <c r="L9" s="133">
        <f t="shared" si="6"/>
        <v>422000.7</v>
      </c>
      <c r="M9" s="133">
        <f t="shared" si="6"/>
        <v>748397.54999999993</v>
      </c>
      <c r="N9" s="133">
        <f t="shared" si="6"/>
        <v>533546.20046152116</v>
      </c>
      <c r="O9" s="133">
        <f t="shared" si="6"/>
        <v>1071878.5600062343</v>
      </c>
      <c r="P9" s="134">
        <f>SUM(D9:O9)</f>
        <v>4964869.8922322188</v>
      </c>
      <c r="R9" s="128">
        <v>0.15</v>
      </c>
      <c r="S9" s="193">
        <f t="shared" ref="S9:AD9" si="7">S8*$R$9</f>
        <v>349172.64</v>
      </c>
      <c r="T9" s="193">
        <f t="shared" si="7"/>
        <v>397862.28</v>
      </c>
      <c r="U9" s="193">
        <f t="shared" si="7"/>
        <v>436021.21487603307</v>
      </c>
      <c r="V9" s="193">
        <f t="shared" si="7"/>
        <v>355985.82</v>
      </c>
      <c r="W9" s="193">
        <f t="shared" si="7"/>
        <v>502610.67000000004</v>
      </c>
      <c r="X9" s="193">
        <f t="shared" si="7"/>
        <v>703125.63</v>
      </c>
      <c r="Y9" s="193">
        <f t="shared" si="7"/>
        <v>535873.23899999994</v>
      </c>
      <c r="Z9" s="193">
        <f t="shared" si="7"/>
        <v>659632.8933</v>
      </c>
      <c r="AA9" s="193">
        <f t="shared" si="7"/>
        <v>759601.26</v>
      </c>
      <c r="AB9" s="193">
        <f t="shared" si="7"/>
        <v>1347115.5899999999</v>
      </c>
      <c r="AC9" s="193">
        <f t="shared" si="7"/>
        <v>960383.16083073814</v>
      </c>
      <c r="AD9" s="193">
        <f t="shared" si="7"/>
        <v>1929381.4080112218</v>
      </c>
      <c r="AE9" s="134">
        <f>SUM(S9:AD9)</f>
        <v>8936765.806017993</v>
      </c>
      <c r="AG9" s="128">
        <v>0.15</v>
      </c>
      <c r="AH9" s="193">
        <f t="shared" ref="AH9:AS9" si="8">AH8*$AG$9</f>
        <v>593593.48800000001</v>
      </c>
      <c r="AI9" s="193">
        <f t="shared" si="8"/>
        <v>676365.87599999993</v>
      </c>
      <c r="AJ9" s="193">
        <f t="shared" si="8"/>
        <v>741236.06528925628</v>
      </c>
      <c r="AK9" s="193">
        <f t="shared" si="8"/>
        <v>605175.89400000009</v>
      </c>
      <c r="AL9" s="193">
        <f t="shared" si="8"/>
        <v>854438.13900000008</v>
      </c>
      <c r="AM9" s="193">
        <f t="shared" si="8"/>
        <v>1195313.571</v>
      </c>
      <c r="AN9" s="193">
        <f t="shared" si="8"/>
        <v>910984.50629999989</v>
      </c>
      <c r="AO9" s="193">
        <f t="shared" si="8"/>
        <v>1121375.9186100001</v>
      </c>
      <c r="AP9" s="193">
        <f t="shared" si="8"/>
        <v>1291322.1420000002</v>
      </c>
      <c r="AQ9" s="193">
        <f t="shared" si="8"/>
        <v>2290096.503</v>
      </c>
      <c r="AR9" s="193">
        <f t="shared" si="8"/>
        <v>1632651.373412255</v>
      </c>
      <c r="AS9" s="193">
        <f t="shared" si="8"/>
        <v>3279948.3936190768</v>
      </c>
      <c r="AT9" s="134">
        <f>SUM(AH9:AS9)</f>
        <v>15192501.870230589</v>
      </c>
      <c r="AV9" s="128">
        <v>0.15</v>
      </c>
      <c r="AW9" s="193">
        <f t="shared" ref="AW9:BH9" si="9">AW8*$AV$9</f>
        <v>1009108.9295999999</v>
      </c>
      <c r="AX9" s="193">
        <f t="shared" si="9"/>
        <v>1149821.9892</v>
      </c>
      <c r="AY9" s="193">
        <f t="shared" si="9"/>
        <v>1260101.3109917357</v>
      </c>
      <c r="AZ9" s="193">
        <f t="shared" si="9"/>
        <v>1028799.0198</v>
      </c>
      <c r="BA9" s="193">
        <f t="shared" si="9"/>
        <v>1452544.8363000001</v>
      </c>
      <c r="BB9" s="193">
        <f t="shared" si="9"/>
        <v>2032033.0706999996</v>
      </c>
      <c r="BC9" s="193">
        <f t="shared" si="9"/>
        <v>1548673.6607099997</v>
      </c>
      <c r="BD9" s="193">
        <f t="shared" si="9"/>
        <v>1906339.0616370002</v>
      </c>
      <c r="BE9" s="193">
        <f t="shared" si="9"/>
        <v>2195247.6414000001</v>
      </c>
      <c r="BF9" s="193">
        <f t="shared" si="9"/>
        <v>3893164.0550999995</v>
      </c>
      <c r="BG9" s="193">
        <f t="shared" si="9"/>
        <v>2775507.3348008334</v>
      </c>
      <c r="BH9" s="193">
        <f t="shared" si="9"/>
        <v>5575912.2691524299</v>
      </c>
      <c r="BI9" s="134">
        <f>SUM(AW9:BH9)</f>
        <v>25827253.179391995</v>
      </c>
    </row>
    <row r="10" spans="2:61" ht="15.75" x14ac:dyDescent="0.25">
      <c r="B10" s="132"/>
      <c r="C10" s="136" t="s">
        <v>43</v>
      </c>
      <c r="D10" s="137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R10" s="136" t="s">
        <v>43</v>
      </c>
      <c r="S10" s="137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G10" s="136" t="s">
        <v>43</v>
      </c>
      <c r="AH10" s="137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V10" s="136" t="s">
        <v>43</v>
      </c>
      <c r="AW10" s="137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</row>
    <row r="11" spans="2:61" ht="15.75" x14ac:dyDescent="0.25">
      <c r="B11" s="132"/>
      <c r="C11" s="128" t="s">
        <v>36</v>
      </c>
      <c r="D11" s="130">
        <f t="shared" ref="D11:O11" si="10">D12/D37</f>
        <v>1008.87962</v>
      </c>
      <c r="E11" s="130">
        <f t="shared" si="10"/>
        <v>1412.7329999999999</v>
      </c>
      <c r="F11" s="130">
        <f t="shared" si="10"/>
        <v>2040.3065300000003</v>
      </c>
      <c r="G11" s="130">
        <f t="shared" si="10"/>
        <v>1688.2</v>
      </c>
      <c r="H11" s="130">
        <f t="shared" si="10"/>
        <v>1691.7719999999999</v>
      </c>
      <c r="I11" s="130">
        <f t="shared" si="10"/>
        <v>2901.5720000000001</v>
      </c>
      <c r="J11" s="130">
        <f t="shared" si="10"/>
        <v>2020.5909999999999</v>
      </c>
      <c r="K11" s="130">
        <f t="shared" si="10"/>
        <v>2947.2420000000002</v>
      </c>
      <c r="L11" s="130">
        <f t="shared" si="10"/>
        <v>4252.4520000000002</v>
      </c>
      <c r="M11" s="130">
        <f t="shared" si="10"/>
        <v>3113.09</v>
      </c>
      <c r="N11" s="130">
        <f t="shared" si="10"/>
        <v>8281.9556427299995</v>
      </c>
      <c r="O11" s="130">
        <f t="shared" si="10"/>
        <v>9809.6343032249988</v>
      </c>
      <c r="P11" s="131">
        <f>+SUM(D11:O11)</f>
        <v>41168.428095955001</v>
      </c>
      <c r="R11" s="128" t="s">
        <v>36</v>
      </c>
      <c r="S11" s="192">
        <f t="shared" ref="S11:AD11" si="11">S12/S37</f>
        <v>1228.2012765217391</v>
      </c>
      <c r="T11" s="192">
        <f t="shared" si="11"/>
        <v>1719.8488695652175</v>
      </c>
      <c r="U11" s="192">
        <f t="shared" si="11"/>
        <v>2483.8514278260868</v>
      </c>
      <c r="V11" s="192">
        <f t="shared" si="11"/>
        <v>2055.1999999999998</v>
      </c>
      <c r="W11" s="192">
        <f t="shared" si="11"/>
        <v>2059.5485217391301</v>
      </c>
      <c r="X11" s="192">
        <f t="shared" si="11"/>
        <v>3532.3485217391303</v>
      </c>
      <c r="Y11" s="192">
        <f t="shared" si="11"/>
        <v>2459.849913043478</v>
      </c>
      <c r="Z11" s="192">
        <f t="shared" si="11"/>
        <v>3587.9467826086957</v>
      </c>
      <c r="AA11" s="192">
        <f t="shared" si="11"/>
        <v>5176.8980869565212</v>
      </c>
      <c r="AB11" s="192">
        <f t="shared" si="11"/>
        <v>3789.8486956521738</v>
      </c>
      <c r="AC11" s="192">
        <f t="shared" si="11"/>
        <v>10082.380782453913</v>
      </c>
      <c r="AD11" s="192">
        <f t="shared" si="11"/>
        <v>11942.163499578261</v>
      </c>
      <c r="AE11" s="131">
        <f>+SUM(S11:AD11)</f>
        <v>50118.08637768434</v>
      </c>
      <c r="AG11" s="128" t="s">
        <v>36</v>
      </c>
      <c r="AH11" s="192">
        <f t="shared" ref="AH11:AS11" si="12">AH12/AH37</f>
        <v>1339.8559380237155</v>
      </c>
      <c r="AI11" s="192">
        <f t="shared" si="12"/>
        <v>1876.198766798419</v>
      </c>
      <c r="AJ11" s="192">
        <f t="shared" si="12"/>
        <v>2709.6561030830039</v>
      </c>
      <c r="AK11" s="192">
        <f t="shared" si="12"/>
        <v>2242.0363636363636</v>
      </c>
      <c r="AL11" s="192">
        <f t="shared" si="12"/>
        <v>2246.7802055335965</v>
      </c>
      <c r="AM11" s="192">
        <f t="shared" si="12"/>
        <v>3853.4711146245058</v>
      </c>
      <c r="AN11" s="192">
        <f t="shared" si="12"/>
        <v>2683.472632411067</v>
      </c>
      <c r="AO11" s="192">
        <f t="shared" si="12"/>
        <v>3914.1237628458493</v>
      </c>
      <c r="AP11" s="192">
        <f t="shared" si="12"/>
        <v>5647.5251857707508</v>
      </c>
      <c r="AQ11" s="192">
        <f t="shared" si="12"/>
        <v>4134.3803952569169</v>
      </c>
      <c r="AR11" s="192">
        <f t="shared" si="12"/>
        <v>10998.960853586086</v>
      </c>
      <c r="AS11" s="192">
        <f t="shared" si="12"/>
        <v>13027.814726812647</v>
      </c>
      <c r="AT11" s="131">
        <f>+SUM(AH11:AS11)</f>
        <v>54674.276048382919</v>
      </c>
      <c r="AV11" s="128" t="s">
        <v>36</v>
      </c>
      <c r="AW11" s="192">
        <f t="shared" ref="AW11:BH11" si="13">AW12/AW37</f>
        <v>1461.6610232985988</v>
      </c>
      <c r="AX11" s="192">
        <f t="shared" si="13"/>
        <v>2046.7622910528205</v>
      </c>
      <c r="AY11" s="192">
        <f t="shared" si="13"/>
        <v>2955.9884760905493</v>
      </c>
      <c r="AZ11" s="192">
        <f t="shared" si="13"/>
        <v>2445.8578512396693</v>
      </c>
      <c r="BA11" s="192">
        <f t="shared" si="13"/>
        <v>2451.0329514911964</v>
      </c>
      <c r="BB11" s="192">
        <f t="shared" si="13"/>
        <v>4203.7866704994613</v>
      </c>
      <c r="BC11" s="192">
        <f t="shared" si="13"/>
        <v>2927.4246899029822</v>
      </c>
      <c r="BD11" s="192">
        <f t="shared" si="13"/>
        <v>4269.9531958318357</v>
      </c>
      <c r="BE11" s="192">
        <f t="shared" si="13"/>
        <v>6160.9365662953642</v>
      </c>
      <c r="BF11" s="192">
        <f t="shared" si="13"/>
        <v>4510.2331584620915</v>
      </c>
      <c r="BG11" s="192">
        <f t="shared" si="13"/>
        <v>11998.866385730274</v>
      </c>
      <c r="BH11" s="192">
        <f t="shared" si="13"/>
        <v>14212.161520159252</v>
      </c>
      <c r="BI11" s="131">
        <f>+SUM(AW11:BH11)</f>
        <v>59644.664780054096</v>
      </c>
    </row>
    <row r="12" spans="2:61" ht="15.75" x14ac:dyDescent="0.25">
      <c r="B12" s="132"/>
      <c r="C12" s="127" t="s">
        <v>37</v>
      </c>
      <c r="D12" s="133">
        <v>1008879.62</v>
      </c>
      <c r="E12" s="133">
        <v>1412733</v>
      </c>
      <c r="F12" s="133">
        <v>2040306.5300000003</v>
      </c>
      <c r="G12" s="133">
        <v>1688200</v>
      </c>
      <c r="H12" s="133">
        <v>1691772</v>
      </c>
      <c r="I12" s="133">
        <v>2901572</v>
      </c>
      <c r="J12" s="133">
        <v>2020591</v>
      </c>
      <c r="K12" s="133">
        <v>2947242</v>
      </c>
      <c r="L12" s="133">
        <v>4252452</v>
      </c>
      <c r="M12" s="133">
        <v>3113090</v>
      </c>
      <c r="N12" s="133">
        <v>8281955.6427299995</v>
      </c>
      <c r="O12" s="133">
        <v>9809634.3032249995</v>
      </c>
      <c r="P12" s="134">
        <f>+SUM(D12:O12)</f>
        <v>41168428.095954999</v>
      </c>
      <c r="R12" s="127" t="s">
        <v>37</v>
      </c>
      <c r="S12" s="193">
        <v>1412431.4680000001</v>
      </c>
      <c r="T12" s="193">
        <v>1977826.2</v>
      </c>
      <c r="U12" s="193">
        <v>2856429.142</v>
      </c>
      <c r="V12" s="193">
        <v>2363480</v>
      </c>
      <c r="W12" s="193">
        <v>2368480.7999999998</v>
      </c>
      <c r="X12" s="193">
        <v>4062200.8</v>
      </c>
      <c r="Y12" s="193">
        <v>2828827.4</v>
      </c>
      <c r="Z12" s="193">
        <v>4126138.8</v>
      </c>
      <c r="AA12" s="193">
        <v>5953432.7999999998</v>
      </c>
      <c r="AB12" s="193">
        <v>4358326</v>
      </c>
      <c r="AC12" s="193">
        <v>11594737.899821999</v>
      </c>
      <c r="AD12" s="193">
        <v>13733488.024514999</v>
      </c>
      <c r="AE12" s="134">
        <f>+SUM(S12:AD12)</f>
        <v>57635799.334336996</v>
      </c>
      <c r="AG12" s="127" t="s">
        <v>37</v>
      </c>
      <c r="AH12" s="193">
        <f t="shared" ref="AH12:AS12" si="14">S12*$AH$18</f>
        <v>1694917.7616000001</v>
      </c>
      <c r="AI12" s="193">
        <f t="shared" si="14"/>
        <v>2373391.44</v>
      </c>
      <c r="AJ12" s="193">
        <f t="shared" si="14"/>
        <v>3427714.9704</v>
      </c>
      <c r="AK12" s="193">
        <f t="shared" si="14"/>
        <v>2836176</v>
      </c>
      <c r="AL12" s="193">
        <f t="shared" si="14"/>
        <v>2842176.9599999995</v>
      </c>
      <c r="AM12" s="193">
        <f t="shared" si="14"/>
        <v>4874640.96</v>
      </c>
      <c r="AN12" s="193">
        <f t="shared" si="14"/>
        <v>3394592.88</v>
      </c>
      <c r="AO12" s="193">
        <f t="shared" si="14"/>
        <v>4951366.5599999996</v>
      </c>
      <c r="AP12" s="193">
        <f t="shared" si="14"/>
        <v>7144119.3599999994</v>
      </c>
      <c r="AQ12" s="193">
        <f t="shared" si="14"/>
        <v>5229991.2</v>
      </c>
      <c r="AR12" s="193">
        <f t="shared" si="14"/>
        <v>13913685.479786398</v>
      </c>
      <c r="AS12" s="193">
        <f t="shared" si="14"/>
        <v>16480185.629417999</v>
      </c>
      <c r="AT12" s="134">
        <f>+SUM(AH12:AS12)</f>
        <v>69162959.201204389</v>
      </c>
      <c r="AV12" s="127" t="s">
        <v>37</v>
      </c>
      <c r="AW12" s="193">
        <f>AH12*$AW$18</f>
        <v>2033901.3139200001</v>
      </c>
      <c r="AX12" s="193">
        <f t="shared" ref="AX12:BH12" si="15">AI12*$AH$18</f>
        <v>2848069.7279999997</v>
      </c>
      <c r="AY12" s="193">
        <f t="shared" si="15"/>
        <v>4113257.9644799996</v>
      </c>
      <c r="AZ12" s="193">
        <f t="shared" si="15"/>
        <v>3403411.1999999997</v>
      </c>
      <c r="BA12" s="193">
        <f t="shared" si="15"/>
        <v>3410612.3519999995</v>
      </c>
      <c r="BB12" s="193">
        <f t="shared" si="15"/>
        <v>5849569.1519999998</v>
      </c>
      <c r="BC12" s="193">
        <f t="shared" si="15"/>
        <v>4073511.4559999998</v>
      </c>
      <c r="BD12" s="193">
        <f t="shared" si="15"/>
        <v>5941639.8719999995</v>
      </c>
      <c r="BE12" s="193">
        <f t="shared" si="15"/>
        <v>8572943.2319999989</v>
      </c>
      <c r="BF12" s="193">
        <f t="shared" si="15"/>
        <v>6275989.4400000004</v>
      </c>
      <c r="BG12" s="193">
        <f t="shared" si="15"/>
        <v>16696422.575743677</v>
      </c>
      <c r="BH12" s="193">
        <f t="shared" si="15"/>
        <v>19776222.755301598</v>
      </c>
      <c r="BI12" s="134">
        <f>+SUM(AW12:BH12)</f>
        <v>82995551.04144527</v>
      </c>
    </row>
    <row r="13" spans="2:61" ht="15.75" x14ac:dyDescent="0.25">
      <c r="B13" s="132"/>
      <c r="C13" s="138">
        <v>0.05</v>
      </c>
      <c r="D13" s="139">
        <f t="shared" ref="D13:O13" si="16">D12*$C$13</f>
        <v>50443.981</v>
      </c>
      <c r="E13" s="139">
        <f t="shared" si="16"/>
        <v>70636.650000000009</v>
      </c>
      <c r="F13" s="139">
        <f t="shared" si="16"/>
        <v>102015.32650000002</v>
      </c>
      <c r="G13" s="139">
        <f t="shared" si="16"/>
        <v>84410</v>
      </c>
      <c r="H13" s="139">
        <f t="shared" si="16"/>
        <v>84588.6</v>
      </c>
      <c r="I13" s="139">
        <f t="shared" si="16"/>
        <v>145078.6</v>
      </c>
      <c r="J13" s="139">
        <f t="shared" si="16"/>
        <v>101029.55</v>
      </c>
      <c r="K13" s="139">
        <f t="shared" si="16"/>
        <v>147362.1</v>
      </c>
      <c r="L13" s="139">
        <f t="shared" si="16"/>
        <v>212622.6</v>
      </c>
      <c r="M13" s="139">
        <f t="shared" si="16"/>
        <v>155654.5</v>
      </c>
      <c r="N13" s="139">
        <f t="shared" si="16"/>
        <v>414097.7821365</v>
      </c>
      <c r="O13" s="139">
        <f t="shared" si="16"/>
        <v>490481.71516124997</v>
      </c>
      <c r="P13" s="134">
        <f>SUM(D13:O13)</f>
        <v>2058421.4047977501</v>
      </c>
      <c r="R13" s="128">
        <v>0.05</v>
      </c>
      <c r="S13" s="194">
        <f t="shared" ref="S13:AD13" si="17">S12*$R$13</f>
        <v>70621.573400000008</v>
      </c>
      <c r="T13" s="194">
        <f t="shared" si="17"/>
        <v>98891.31</v>
      </c>
      <c r="U13" s="194">
        <f t="shared" si="17"/>
        <v>142821.4571</v>
      </c>
      <c r="V13" s="194">
        <f t="shared" si="17"/>
        <v>118174</v>
      </c>
      <c r="W13" s="194">
        <f t="shared" si="17"/>
        <v>118424.04</v>
      </c>
      <c r="X13" s="194">
        <f t="shared" si="17"/>
        <v>203110.04</v>
      </c>
      <c r="Y13" s="194">
        <f t="shared" si="17"/>
        <v>141441.37</v>
      </c>
      <c r="Z13" s="194">
        <f t="shared" si="17"/>
        <v>206306.94</v>
      </c>
      <c r="AA13" s="194">
        <f t="shared" si="17"/>
        <v>297671.64</v>
      </c>
      <c r="AB13" s="194">
        <f t="shared" si="17"/>
        <v>217916.30000000002</v>
      </c>
      <c r="AC13" s="194">
        <f t="shared" si="17"/>
        <v>579736.89499109995</v>
      </c>
      <c r="AD13" s="194">
        <f t="shared" si="17"/>
        <v>686674.40122574999</v>
      </c>
      <c r="AE13" s="134">
        <f>SUM(S13:AD13)</f>
        <v>2881789.9667168502</v>
      </c>
      <c r="AG13" s="128">
        <v>0.05</v>
      </c>
      <c r="AH13" s="194">
        <f t="shared" ref="AH13:AS13" si="18">AH12*$AG$13</f>
        <v>84745.888080000004</v>
      </c>
      <c r="AI13" s="194">
        <f t="shared" si="18"/>
        <v>118669.572</v>
      </c>
      <c r="AJ13" s="194">
        <f t="shared" si="18"/>
        <v>171385.74852000002</v>
      </c>
      <c r="AK13" s="194">
        <f t="shared" si="18"/>
        <v>141808.80000000002</v>
      </c>
      <c r="AL13" s="194">
        <f t="shared" si="18"/>
        <v>142108.84799999997</v>
      </c>
      <c r="AM13" s="194">
        <f t="shared" si="18"/>
        <v>243732.04800000001</v>
      </c>
      <c r="AN13" s="194">
        <f t="shared" si="18"/>
        <v>169729.644</v>
      </c>
      <c r="AO13" s="194">
        <f t="shared" si="18"/>
        <v>247568.32799999998</v>
      </c>
      <c r="AP13" s="194">
        <f t="shared" si="18"/>
        <v>357205.96799999999</v>
      </c>
      <c r="AQ13" s="194">
        <f t="shared" si="18"/>
        <v>261499.56000000003</v>
      </c>
      <c r="AR13" s="194">
        <f t="shared" si="18"/>
        <v>695684.27398931992</v>
      </c>
      <c r="AS13" s="194">
        <f t="shared" si="18"/>
        <v>824009.28147089994</v>
      </c>
      <c r="AT13" s="134">
        <f>SUM(AH13:AS13)</f>
        <v>3458147.9600602197</v>
      </c>
      <c r="AV13" s="128">
        <v>0.05</v>
      </c>
      <c r="AW13" s="194">
        <f t="shared" ref="AW13:BH13" si="19">AW12*$AV$13</f>
        <v>101695.06569600001</v>
      </c>
      <c r="AX13" s="194">
        <f t="shared" si="19"/>
        <v>142403.48639999999</v>
      </c>
      <c r="AY13" s="194">
        <f t="shared" si="19"/>
        <v>205662.898224</v>
      </c>
      <c r="AZ13" s="194">
        <f t="shared" si="19"/>
        <v>170170.56</v>
      </c>
      <c r="BA13" s="194">
        <f t="shared" si="19"/>
        <v>170530.6176</v>
      </c>
      <c r="BB13" s="194">
        <f t="shared" si="19"/>
        <v>292478.45760000002</v>
      </c>
      <c r="BC13" s="194">
        <f t="shared" si="19"/>
        <v>203675.57279999999</v>
      </c>
      <c r="BD13" s="194">
        <f t="shared" si="19"/>
        <v>297081.99359999999</v>
      </c>
      <c r="BE13" s="194">
        <f t="shared" si="19"/>
        <v>428647.16159999999</v>
      </c>
      <c r="BF13" s="194">
        <f t="shared" si="19"/>
        <v>313799.47200000001</v>
      </c>
      <c r="BG13" s="194">
        <f t="shared" si="19"/>
        <v>834821.1287871839</v>
      </c>
      <c r="BH13" s="194">
        <f t="shared" si="19"/>
        <v>988811.13776507997</v>
      </c>
      <c r="BI13" s="134">
        <f>SUM(AW13:BH13)</f>
        <v>4149777.5520722633</v>
      </c>
    </row>
    <row r="14" spans="2:61" s="129" customFormat="1" ht="16.5" thickBot="1" x14ac:dyDescent="0.3"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  <c r="Q14" s="132"/>
      <c r="R14" s="140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AG14" s="140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2"/>
      <c r="AV14" s="140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2"/>
    </row>
    <row r="15" spans="2:61" s="129" customFormat="1" ht="16.5" thickBot="1" x14ac:dyDescent="0.3">
      <c r="C15" s="124">
        <v>2017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2"/>
      <c r="Q15" s="132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2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2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2"/>
    </row>
    <row r="16" spans="2:61" x14ac:dyDescent="0.2">
      <c r="D16" s="35"/>
      <c r="Q16" s="40"/>
      <c r="S16" s="35"/>
      <c r="AH16" s="35"/>
      <c r="AW16" s="35"/>
    </row>
    <row r="17" spans="2:61" x14ac:dyDescent="0.2">
      <c r="C17" s="143" t="s">
        <v>75</v>
      </c>
      <c r="D17" s="144">
        <v>1.9</v>
      </c>
      <c r="Q17" s="40"/>
      <c r="R17" s="143" t="s">
        <v>75</v>
      </c>
      <c r="S17" s="144"/>
      <c r="AG17" s="145" t="s">
        <v>75</v>
      </c>
      <c r="AH17" s="144">
        <v>1.7</v>
      </c>
      <c r="AV17" s="145" t="s">
        <v>75</v>
      </c>
      <c r="AW17" s="144">
        <v>1.7</v>
      </c>
    </row>
    <row r="18" spans="2:61" x14ac:dyDescent="0.2">
      <c r="C18" s="86" t="s">
        <v>76</v>
      </c>
      <c r="D18" s="146">
        <v>1.4</v>
      </c>
      <c r="Q18" s="40"/>
      <c r="R18" s="86" t="s">
        <v>76</v>
      </c>
      <c r="S18" s="146"/>
      <c r="AG18" s="147" t="s">
        <v>76</v>
      </c>
      <c r="AH18" s="146">
        <v>1.2</v>
      </c>
      <c r="AV18" s="147" t="s">
        <v>76</v>
      </c>
      <c r="AW18" s="146">
        <v>1.2</v>
      </c>
    </row>
    <row r="19" spans="2:61" x14ac:dyDescent="0.2">
      <c r="C19" s="148" t="s">
        <v>74</v>
      </c>
      <c r="D19" s="149">
        <v>0.22</v>
      </c>
      <c r="Q19" s="40"/>
      <c r="R19" s="148" t="s">
        <v>74</v>
      </c>
      <c r="S19" s="146">
        <v>1.1499999999999999</v>
      </c>
      <c r="AG19" s="150" t="s">
        <v>74</v>
      </c>
      <c r="AH19" s="146">
        <v>1.1000000000000001</v>
      </c>
      <c r="AV19" s="150" t="s">
        <v>74</v>
      </c>
      <c r="AW19" s="146">
        <v>1.1000000000000001</v>
      </c>
    </row>
    <row r="20" spans="2:61" x14ac:dyDescent="0.2">
      <c r="C20" s="88" t="s">
        <v>77</v>
      </c>
      <c r="D20" s="151">
        <v>100</v>
      </c>
      <c r="Q20" s="40"/>
      <c r="R20" s="88" t="s">
        <v>77</v>
      </c>
      <c r="S20" s="195">
        <v>114.99999999999999</v>
      </c>
      <c r="T20" s="152"/>
      <c r="AG20" s="153" t="s">
        <v>77</v>
      </c>
      <c r="AH20" s="196">
        <f>S20*AH19</f>
        <v>126.5</v>
      </c>
      <c r="AV20" s="153" t="s">
        <v>77</v>
      </c>
      <c r="AW20" s="154">
        <f>AH20*AW19</f>
        <v>139.15</v>
      </c>
    </row>
    <row r="21" spans="2:61" x14ac:dyDescent="0.2">
      <c r="C21" s="155"/>
      <c r="Q21" s="40"/>
    </row>
    <row r="23" spans="2:61" x14ac:dyDescent="0.2">
      <c r="C23" s="9" t="s">
        <v>42</v>
      </c>
      <c r="D23" s="9">
        <v>1</v>
      </c>
      <c r="E23" s="9">
        <v>2</v>
      </c>
      <c r="F23" s="9">
        <v>3</v>
      </c>
      <c r="G23" s="9">
        <v>4</v>
      </c>
      <c r="H23" s="9">
        <v>5</v>
      </c>
      <c r="I23" s="9">
        <v>6</v>
      </c>
      <c r="J23" s="9">
        <v>7</v>
      </c>
      <c r="K23" s="9">
        <v>8</v>
      </c>
      <c r="L23" s="9">
        <v>9</v>
      </c>
      <c r="M23" s="9">
        <v>10</v>
      </c>
      <c r="N23" s="9">
        <v>11</v>
      </c>
      <c r="O23" s="9">
        <v>12</v>
      </c>
      <c r="P23" s="13" t="s">
        <v>0</v>
      </c>
      <c r="R23" s="9"/>
      <c r="S23" s="9">
        <v>1</v>
      </c>
      <c r="T23" s="9">
        <v>2</v>
      </c>
      <c r="U23" s="9">
        <v>3</v>
      </c>
      <c r="V23" s="9">
        <v>4</v>
      </c>
      <c r="W23" s="9">
        <v>5</v>
      </c>
      <c r="X23" s="9">
        <v>6</v>
      </c>
      <c r="Y23" s="9">
        <v>7</v>
      </c>
      <c r="Z23" s="9">
        <v>8</v>
      </c>
      <c r="AA23" s="9">
        <v>9</v>
      </c>
      <c r="AB23" s="9">
        <v>10</v>
      </c>
      <c r="AC23" s="9">
        <v>11</v>
      </c>
      <c r="AD23" s="9">
        <v>12</v>
      </c>
      <c r="AE23" s="13" t="s">
        <v>0</v>
      </c>
      <c r="AG23" s="9"/>
      <c r="AH23" s="9">
        <v>1</v>
      </c>
      <c r="AI23" s="9">
        <v>2</v>
      </c>
      <c r="AJ23" s="9">
        <v>3</v>
      </c>
      <c r="AK23" s="9">
        <v>4</v>
      </c>
      <c r="AL23" s="9">
        <v>5</v>
      </c>
      <c r="AM23" s="9">
        <v>6</v>
      </c>
      <c r="AN23" s="9">
        <v>7</v>
      </c>
      <c r="AO23" s="9">
        <v>8</v>
      </c>
      <c r="AP23" s="9">
        <v>9</v>
      </c>
      <c r="AQ23" s="9">
        <v>10</v>
      </c>
      <c r="AR23" s="9">
        <v>11</v>
      </c>
      <c r="AS23" s="9">
        <v>12</v>
      </c>
      <c r="AT23" s="13" t="s">
        <v>0</v>
      </c>
      <c r="AV23" s="9"/>
      <c r="AW23" s="9">
        <v>1</v>
      </c>
      <c r="AX23" s="9">
        <v>2</v>
      </c>
      <c r="AY23" s="9">
        <v>3</v>
      </c>
      <c r="AZ23" s="9">
        <v>4</v>
      </c>
      <c r="BA23" s="9">
        <v>5</v>
      </c>
      <c r="BB23" s="9">
        <v>6</v>
      </c>
      <c r="BC23" s="9">
        <v>7</v>
      </c>
      <c r="BD23" s="9">
        <v>8</v>
      </c>
      <c r="BE23" s="9">
        <v>9</v>
      </c>
      <c r="BF23" s="9">
        <v>10</v>
      </c>
      <c r="BG23" s="9">
        <v>11</v>
      </c>
      <c r="BH23" s="9">
        <v>12</v>
      </c>
      <c r="BI23" s="13" t="s">
        <v>0</v>
      </c>
    </row>
    <row r="24" spans="2:61" x14ac:dyDescent="0.2">
      <c r="C24" s="15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R24" s="15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G24" s="15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V24" s="15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2:61" ht="15.75" x14ac:dyDescent="0.25">
      <c r="C25" s="6" t="s">
        <v>1</v>
      </c>
      <c r="D25" s="23">
        <f>SUM(D26:D28)</f>
        <v>254128.02099999998</v>
      </c>
      <c r="E25" s="23">
        <f t="shared" ref="E25:O25" si="20">SUM(E26:E28)</f>
        <v>302722.98</v>
      </c>
      <c r="F25" s="23">
        <f t="shared" si="20"/>
        <v>356361.03517768596</v>
      </c>
      <c r="G25" s="23">
        <f t="shared" si="20"/>
        <v>292068.39500000002</v>
      </c>
      <c r="H25" s="23">
        <f t="shared" si="20"/>
        <v>377778.15749999997</v>
      </c>
      <c r="I25" s="23">
        <f t="shared" si="20"/>
        <v>555235.21749999991</v>
      </c>
      <c r="J25" s="23">
        <f t="shared" si="20"/>
        <v>413622.27274999995</v>
      </c>
      <c r="K25" s="23">
        <f t="shared" si="20"/>
        <v>532147.954425</v>
      </c>
      <c r="L25" s="23">
        <f t="shared" si="20"/>
        <v>655723.33500000008</v>
      </c>
      <c r="M25" s="23">
        <f t="shared" si="20"/>
        <v>941471.92749999987</v>
      </c>
      <c r="N25" s="23">
        <f t="shared" si="20"/>
        <v>974321.29262109718</v>
      </c>
      <c r="O25" s="23">
        <f t="shared" si="20"/>
        <v>1615954.2031677959</v>
      </c>
      <c r="P25" s="23">
        <f>SUM(D25:O25)</f>
        <v>7271534.7916415799</v>
      </c>
      <c r="R25" s="6" t="s">
        <v>1</v>
      </c>
      <c r="S25" s="23">
        <f>SUM(S26:S28)</f>
        <v>437252.84539999999</v>
      </c>
      <c r="T25" s="23">
        <f t="shared" ref="T25:AD25" si="21">SUM(T26:T28)</f>
        <v>516646.70400000003</v>
      </c>
      <c r="U25" s="23">
        <f t="shared" si="21"/>
        <v>600643.73271983478</v>
      </c>
      <c r="V25" s="23">
        <f t="shared" si="21"/>
        <v>491959.11100000003</v>
      </c>
      <c r="W25" s="23">
        <f t="shared" si="21"/>
        <v>646165.2435000001</v>
      </c>
      <c r="X25" s="23">
        <f t="shared" si="21"/>
        <v>941391.95150000008</v>
      </c>
      <c r="Y25" s="23">
        <f t="shared" si="21"/>
        <v>704108.27094999992</v>
      </c>
      <c r="Z25" s="23">
        <f t="shared" si="21"/>
        <v>898921.47796500009</v>
      </c>
      <c r="AA25" s="23">
        <f t="shared" si="21"/>
        <v>1095252.963</v>
      </c>
      <c r="AB25" s="23">
        <f t="shared" si="21"/>
        <v>1632387.6694999998</v>
      </c>
      <c r="AC25" s="23">
        <f t="shared" si="21"/>
        <v>1588139.2138633749</v>
      </c>
      <c r="AD25" s="23">
        <f t="shared" si="21"/>
        <v>2712524.8796375329</v>
      </c>
      <c r="AE25" s="23">
        <f>SUM(S25:AD25)</f>
        <v>12265394.063035745</v>
      </c>
      <c r="AG25" s="6" t="s">
        <v>1</v>
      </c>
      <c r="AH25" s="23">
        <f>SUM(AH26:AH28)</f>
        <v>708019.05048000009</v>
      </c>
      <c r="AI25" s="23">
        <f t="shared" ref="AI25:AS25" si="22">SUM(AI26:AI28)</f>
        <v>828853.74180000008</v>
      </c>
      <c r="AJ25" s="23">
        <f t="shared" si="22"/>
        <v>949683.61707371904</v>
      </c>
      <c r="AK25" s="23">
        <f t="shared" si="22"/>
        <v>777243.48869999987</v>
      </c>
      <c r="AL25" s="23">
        <f t="shared" si="22"/>
        <v>1039268.8939500001</v>
      </c>
      <c r="AM25" s="23">
        <f t="shared" si="22"/>
        <v>1498811.29755</v>
      </c>
      <c r="AN25" s="23">
        <f t="shared" si="22"/>
        <v>1126263.3756149998</v>
      </c>
      <c r="AO25" s="23">
        <f t="shared" si="22"/>
        <v>1425013.0425404999</v>
      </c>
      <c r="AP25" s="23">
        <f t="shared" si="22"/>
        <v>1713094.2170999998</v>
      </c>
      <c r="AQ25" s="23">
        <f t="shared" si="22"/>
        <v>2666100.8881499995</v>
      </c>
      <c r="AR25" s="23">
        <f t="shared" si="22"/>
        <v>2409968.2160721873</v>
      </c>
      <c r="AS25" s="23">
        <f t="shared" si="22"/>
        <v>4267955.0947709307</v>
      </c>
      <c r="AT25" s="23">
        <f>SUM(AH25:AS25)</f>
        <v>19410274.923802335</v>
      </c>
      <c r="AV25" s="6" t="s">
        <v>1</v>
      </c>
      <c r="AW25" s="23">
        <f>SUM(AW26:AW28)</f>
        <v>1161259.441776</v>
      </c>
      <c r="AX25" s="23">
        <f t="shared" ref="AX25:BH25" si="23">SUM(AX26:AX28)</f>
        <v>1349716.5750599999</v>
      </c>
      <c r="AY25" s="23">
        <f t="shared" si="23"/>
        <v>1528769.274765322</v>
      </c>
      <c r="AZ25" s="23">
        <f t="shared" si="23"/>
        <v>1250409.53079</v>
      </c>
      <c r="BA25" s="23">
        <f t="shared" si="23"/>
        <v>1695702.6957150002</v>
      </c>
      <c r="BB25" s="23">
        <f t="shared" si="23"/>
        <v>2426113.1818349999</v>
      </c>
      <c r="BC25" s="23">
        <f t="shared" si="23"/>
        <v>1829782.9165454996</v>
      </c>
      <c r="BD25" s="23">
        <f t="shared" si="23"/>
        <v>2298738.0083188498</v>
      </c>
      <c r="BE25" s="23">
        <f t="shared" si="23"/>
        <v>2733657.1850700001</v>
      </c>
      <c r="BF25" s="23">
        <f t="shared" si="23"/>
        <v>4401621.7298549991</v>
      </c>
      <c r="BG25" s="23">
        <f t="shared" si="23"/>
        <v>3749103.8303280585</v>
      </c>
      <c r="BH25" s="23">
        <f t="shared" si="23"/>
        <v>6843519.0203751326</v>
      </c>
      <c r="BI25" s="23">
        <f>SUM(AW25:BH25)</f>
        <v>31268393.390433859</v>
      </c>
    </row>
    <row r="26" spans="2:61" x14ac:dyDescent="0.2">
      <c r="B26" s="156">
        <v>0.15</v>
      </c>
      <c r="C26" s="1" t="s">
        <v>2</v>
      </c>
      <c r="D26" s="29">
        <f t="shared" ref="D26:P26" si="24">D9</f>
        <v>193984.8</v>
      </c>
      <c r="E26" s="29">
        <f t="shared" si="24"/>
        <v>221034.6</v>
      </c>
      <c r="F26" s="29">
        <f t="shared" si="24"/>
        <v>242234.00826446281</v>
      </c>
      <c r="G26" s="29">
        <f t="shared" si="24"/>
        <v>197769.9</v>
      </c>
      <c r="H26" s="29">
        <f t="shared" si="24"/>
        <v>279228.14999999997</v>
      </c>
      <c r="I26" s="29">
        <f t="shared" si="24"/>
        <v>390625.35</v>
      </c>
      <c r="J26" s="29">
        <f t="shared" si="24"/>
        <v>297707.35499999998</v>
      </c>
      <c r="K26" s="29">
        <f t="shared" si="24"/>
        <v>366462.71850000002</v>
      </c>
      <c r="L26" s="29">
        <f t="shared" si="24"/>
        <v>422000.7</v>
      </c>
      <c r="M26" s="29">
        <f t="shared" si="24"/>
        <v>748397.54999999993</v>
      </c>
      <c r="N26" s="29">
        <f t="shared" si="24"/>
        <v>533546.20046152116</v>
      </c>
      <c r="O26" s="29">
        <f t="shared" si="24"/>
        <v>1071878.5600062343</v>
      </c>
      <c r="P26" s="29">
        <f t="shared" si="24"/>
        <v>4964869.8922322188</v>
      </c>
      <c r="R26" s="1" t="s">
        <v>2</v>
      </c>
      <c r="S26" s="23">
        <f t="shared" ref="S26:AD26" si="25">S9</f>
        <v>349172.64</v>
      </c>
      <c r="T26" s="23">
        <f t="shared" si="25"/>
        <v>397862.28</v>
      </c>
      <c r="U26" s="23">
        <f t="shared" si="25"/>
        <v>436021.21487603307</v>
      </c>
      <c r="V26" s="23">
        <f t="shared" si="25"/>
        <v>355985.82</v>
      </c>
      <c r="W26" s="23">
        <f t="shared" si="25"/>
        <v>502610.67000000004</v>
      </c>
      <c r="X26" s="23">
        <f t="shared" si="25"/>
        <v>703125.63</v>
      </c>
      <c r="Y26" s="23">
        <f t="shared" si="25"/>
        <v>535873.23899999994</v>
      </c>
      <c r="Z26" s="23">
        <f t="shared" si="25"/>
        <v>659632.8933</v>
      </c>
      <c r="AA26" s="23">
        <f t="shared" si="25"/>
        <v>759601.26</v>
      </c>
      <c r="AB26" s="23">
        <f t="shared" si="25"/>
        <v>1347115.5899999999</v>
      </c>
      <c r="AC26" s="23">
        <f t="shared" si="25"/>
        <v>960383.16083073814</v>
      </c>
      <c r="AD26" s="23">
        <f t="shared" si="25"/>
        <v>1929381.4080112218</v>
      </c>
      <c r="AE26" s="23">
        <f>SUM(S26:AD26)</f>
        <v>8936765.806017993</v>
      </c>
      <c r="AG26" s="1" t="s">
        <v>2</v>
      </c>
      <c r="AH26" s="23">
        <f>S26*$AH$17</f>
        <v>593593.48800000001</v>
      </c>
      <c r="AI26" s="23">
        <f t="shared" ref="AI26:AS26" si="26">T26*$AH$17</f>
        <v>676365.87600000005</v>
      </c>
      <c r="AJ26" s="23">
        <f t="shared" si="26"/>
        <v>741236.06528925616</v>
      </c>
      <c r="AK26" s="23">
        <f t="shared" si="26"/>
        <v>605175.89399999997</v>
      </c>
      <c r="AL26" s="23">
        <f t="shared" si="26"/>
        <v>854438.13900000008</v>
      </c>
      <c r="AM26" s="23">
        <f t="shared" si="26"/>
        <v>1195313.571</v>
      </c>
      <c r="AN26" s="23">
        <f t="shared" si="26"/>
        <v>910984.50629999989</v>
      </c>
      <c r="AO26" s="23">
        <f t="shared" si="26"/>
        <v>1121375.9186100001</v>
      </c>
      <c r="AP26" s="23">
        <f t="shared" si="26"/>
        <v>1291322.142</v>
      </c>
      <c r="AQ26" s="23">
        <f t="shared" si="26"/>
        <v>2290096.5029999996</v>
      </c>
      <c r="AR26" s="23">
        <f t="shared" si="26"/>
        <v>1632651.3734122547</v>
      </c>
      <c r="AS26" s="23">
        <f t="shared" si="26"/>
        <v>3279948.3936190768</v>
      </c>
      <c r="AT26" s="23">
        <f>SUM(AH26:AS26)</f>
        <v>15192501.870230587</v>
      </c>
      <c r="AV26" s="1" t="s">
        <v>2</v>
      </c>
      <c r="AW26" s="23">
        <f>AH26*$AW$17</f>
        <v>1009108.9296</v>
      </c>
      <c r="AX26" s="23">
        <f t="shared" ref="AX26:BH26" si="27">AI26*$AW$17</f>
        <v>1149821.9892</v>
      </c>
      <c r="AY26" s="23">
        <f t="shared" si="27"/>
        <v>1260101.3109917354</v>
      </c>
      <c r="AZ26" s="23">
        <f t="shared" si="27"/>
        <v>1028799.0197999999</v>
      </c>
      <c r="BA26" s="23">
        <f t="shared" si="27"/>
        <v>1452544.8363000001</v>
      </c>
      <c r="BB26" s="23">
        <f t="shared" si="27"/>
        <v>2032033.0707</v>
      </c>
      <c r="BC26" s="23">
        <f t="shared" si="27"/>
        <v>1548673.6607099997</v>
      </c>
      <c r="BD26" s="23">
        <f t="shared" si="27"/>
        <v>1906339.0616369999</v>
      </c>
      <c r="BE26" s="23">
        <f t="shared" si="27"/>
        <v>2195247.6414000001</v>
      </c>
      <c r="BF26" s="23">
        <f t="shared" si="27"/>
        <v>3893164.0550999991</v>
      </c>
      <c r="BG26" s="23">
        <f t="shared" si="27"/>
        <v>2775507.3348008329</v>
      </c>
      <c r="BH26" s="23">
        <f t="shared" si="27"/>
        <v>5575912.2691524308</v>
      </c>
      <c r="BI26" s="23">
        <f>SUM(AW26:BH26)</f>
        <v>25827253.179391995</v>
      </c>
    </row>
    <row r="27" spans="2:61" x14ac:dyDescent="0.2">
      <c r="B27" s="156">
        <v>0.05</v>
      </c>
      <c r="C27" s="1" t="s">
        <v>3</v>
      </c>
      <c r="D27" s="29">
        <f t="shared" ref="D27:P27" si="28">D13</f>
        <v>50443.981</v>
      </c>
      <c r="E27" s="29">
        <f t="shared" si="28"/>
        <v>70636.650000000009</v>
      </c>
      <c r="F27" s="29">
        <f t="shared" si="28"/>
        <v>102015.32650000002</v>
      </c>
      <c r="G27" s="29">
        <f t="shared" si="28"/>
        <v>84410</v>
      </c>
      <c r="H27" s="29">
        <f t="shared" si="28"/>
        <v>84588.6</v>
      </c>
      <c r="I27" s="29">
        <f t="shared" si="28"/>
        <v>145078.6</v>
      </c>
      <c r="J27" s="29">
        <f t="shared" si="28"/>
        <v>101029.55</v>
      </c>
      <c r="K27" s="29">
        <f t="shared" si="28"/>
        <v>147362.1</v>
      </c>
      <c r="L27" s="29">
        <f t="shared" si="28"/>
        <v>212622.6</v>
      </c>
      <c r="M27" s="29">
        <f t="shared" si="28"/>
        <v>155654.5</v>
      </c>
      <c r="N27" s="29">
        <f t="shared" si="28"/>
        <v>414097.7821365</v>
      </c>
      <c r="O27" s="29">
        <f t="shared" si="28"/>
        <v>490481.71516124997</v>
      </c>
      <c r="P27" s="29">
        <f t="shared" si="28"/>
        <v>2058421.4047977501</v>
      </c>
      <c r="R27" s="1" t="s">
        <v>3</v>
      </c>
      <c r="S27" s="23">
        <f t="shared" ref="S27:AD27" si="29">S13</f>
        <v>70621.573400000008</v>
      </c>
      <c r="T27" s="23">
        <f t="shared" si="29"/>
        <v>98891.31</v>
      </c>
      <c r="U27" s="23">
        <f t="shared" si="29"/>
        <v>142821.4571</v>
      </c>
      <c r="V27" s="23">
        <f t="shared" si="29"/>
        <v>118174</v>
      </c>
      <c r="W27" s="23">
        <f t="shared" si="29"/>
        <v>118424.04</v>
      </c>
      <c r="X27" s="23">
        <f t="shared" si="29"/>
        <v>203110.04</v>
      </c>
      <c r="Y27" s="23">
        <f t="shared" si="29"/>
        <v>141441.37</v>
      </c>
      <c r="Z27" s="23">
        <f t="shared" si="29"/>
        <v>206306.94</v>
      </c>
      <c r="AA27" s="23">
        <f t="shared" si="29"/>
        <v>297671.64</v>
      </c>
      <c r="AB27" s="23">
        <f t="shared" si="29"/>
        <v>217916.30000000002</v>
      </c>
      <c r="AC27" s="23">
        <f t="shared" si="29"/>
        <v>579736.89499109995</v>
      </c>
      <c r="AD27" s="23">
        <f t="shared" si="29"/>
        <v>686674.40122574999</v>
      </c>
      <c r="AE27" s="23">
        <f>SUM(S27:AD27)</f>
        <v>2881789.9667168502</v>
      </c>
      <c r="AG27" s="1" t="s">
        <v>3</v>
      </c>
      <c r="AH27" s="23">
        <f>S27*$AH$18</f>
        <v>84745.888080000004</v>
      </c>
      <c r="AI27" s="23">
        <f t="shared" ref="AI27:AS27" si="30">T27*$AH$18</f>
        <v>118669.57199999999</v>
      </c>
      <c r="AJ27" s="23">
        <f t="shared" si="30"/>
        <v>171385.74851999999</v>
      </c>
      <c r="AK27" s="23">
        <f t="shared" si="30"/>
        <v>141808.79999999999</v>
      </c>
      <c r="AL27" s="23">
        <f t="shared" si="30"/>
        <v>142108.848</v>
      </c>
      <c r="AM27" s="23">
        <f t="shared" si="30"/>
        <v>243732.04800000001</v>
      </c>
      <c r="AN27" s="23">
        <f t="shared" si="30"/>
        <v>169729.644</v>
      </c>
      <c r="AO27" s="23">
        <f t="shared" si="30"/>
        <v>247568.32799999998</v>
      </c>
      <c r="AP27" s="23">
        <f t="shared" si="30"/>
        <v>357205.96799999999</v>
      </c>
      <c r="AQ27" s="23">
        <f t="shared" si="30"/>
        <v>261499.56</v>
      </c>
      <c r="AR27" s="23">
        <f t="shared" si="30"/>
        <v>695684.27398931992</v>
      </c>
      <c r="AS27" s="23">
        <f t="shared" si="30"/>
        <v>824009.28147089994</v>
      </c>
      <c r="AT27" s="23">
        <f>SUM(AH27:AS27)</f>
        <v>3458147.9600602197</v>
      </c>
      <c r="AV27" s="1" t="s">
        <v>3</v>
      </c>
      <c r="AW27" s="23">
        <f>AH27*$AW$18</f>
        <v>101695.06569600001</v>
      </c>
      <c r="AX27" s="23">
        <f t="shared" ref="AX27:BH27" si="31">AI27*$AW$18</f>
        <v>142403.48639999997</v>
      </c>
      <c r="AY27" s="23">
        <f t="shared" si="31"/>
        <v>205662.89822399998</v>
      </c>
      <c r="AZ27" s="23">
        <f t="shared" si="31"/>
        <v>170170.55999999997</v>
      </c>
      <c r="BA27" s="23">
        <f t="shared" si="31"/>
        <v>170530.6176</v>
      </c>
      <c r="BB27" s="23">
        <f t="shared" si="31"/>
        <v>292478.45760000002</v>
      </c>
      <c r="BC27" s="23">
        <f t="shared" si="31"/>
        <v>203675.57279999999</v>
      </c>
      <c r="BD27" s="23">
        <f t="shared" si="31"/>
        <v>297081.99359999999</v>
      </c>
      <c r="BE27" s="23">
        <f t="shared" si="31"/>
        <v>428647.16159999999</v>
      </c>
      <c r="BF27" s="23">
        <f t="shared" si="31"/>
        <v>313799.47200000001</v>
      </c>
      <c r="BG27" s="23">
        <f t="shared" si="31"/>
        <v>834821.1287871839</v>
      </c>
      <c r="BH27" s="23">
        <f t="shared" si="31"/>
        <v>988811.13776507985</v>
      </c>
      <c r="BI27" s="23">
        <f>SUM(AW27:BH27)</f>
        <v>4149777.5520722633</v>
      </c>
    </row>
    <row r="28" spans="2:61" x14ac:dyDescent="0.2">
      <c r="C28" s="1" t="s">
        <v>4</v>
      </c>
      <c r="D28" s="23">
        <f>((D26*0.5)/D37)*$D$20</f>
        <v>9699.24</v>
      </c>
      <c r="E28" s="23">
        <f t="shared" ref="E28:O28" si="32">((E26*0.5)/E37)*$D$20</f>
        <v>11051.730000000001</v>
      </c>
      <c r="F28" s="23">
        <f t="shared" si="32"/>
        <v>12111.70041322314</v>
      </c>
      <c r="G28" s="23">
        <f t="shared" si="32"/>
        <v>9888.4950000000008</v>
      </c>
      <c r="H28" s="23">
        <f t="shared" si="32"/>
        <v>13961.407499999999</v>
      </c>
      <c r="I28" s="23">
        <f t="shared" si="32"/>
        <v>19531.267499999998</v>
      </c>
      <c r="J28" s="23">
        <f t="shared" si="32"/>
        <v>14885.367750000001</v>
      </c>
      <c r="K28" s="23">
        <f t="shared" si="32"/>
        <v>18323.135924999999</v>
      </c>
      <c r="L28" s="23">
        <f t="shared" si="32"/>
        <v>21100.035</v>
      </c>
      <c r="M28" s="23">
        <f t="shared" si="32"/>
        <v>37419.877499999995</v>
      </c>
      <c r="N28" s="23">
        <f t="shared" si="32"/>
        <v>26677.310023076057</v>
      </c>
      <c r="O28" s="23">
        <f t="shared" si="32"/>
        <v>53593.928000311709</v>
      </c>
      <c r="P28" s="23">
        <f>SUM(D28:O28)</f>
        <v>248243.49461161089</v>
      </c>
      <c r="R28" s="1" t="s">
        <v>4</v>
      </c>
      <c r="S28" s="23">
        <f>((S26*0.5)/S37)*$S$20</f>
        <v>17458.632000000001</v>
      </c>
      <c r="T28" s="23">
        <f t="shared" ref="T28:AD28" si="33">((T26*0.5)/T37)*$S$20</f>
        <v>19893.114000000001</v>
      </c>
      <c r="U28" s="23">
        <f t="shared" si="33"/>
        <v>21801.060743801649</v>
      </c>
      <c r="V28" s="23">
        <f t="shared" si="33"/>
        <v>17799.290999999997</v>
      </c>
      <c r="W28" s="23">
        <f t="shared" si="33"/>
        <v>25130.533500000001</v>
      </c>
      <c r="X28" s="23">
        <f t="shared" si="33"/>
        <v>35156.281499999997</v>
      </c>
      <c r="Y28" s="23">
        <f t="shared" si="33"/>
        <v>26793.661949999994</v>
      </c>
      <c r="Z28" s="23">
        <f t="shared" si="33"/>
        <v>32981.644664999993</v>
      </c>
      <c r="AA28" s="23">
        <f t="shared" si="33"/>
        <v>37980.062999999995</v>
      </c>
      <c r="AB28" s="23">
        <f t="shared" si="33"/>
        <v>67355.779499999975</v>
      </c>
      <c r="AC28" s="23">
        <f t="shared" si="33"/>
        <v>48019.158041536903</v>
      </c>
      <c r="AD28" s="23">
        <f t="shared" si="33"/>
        <v>96469.070400561075</v>
      </c>
      <c r="AE28" s="23">
        <f>SUM(S28:AD28)</f>
        <v>446838.29030089965</v>
      </c>
      <c r="AG28" s="1" t="s">
        <v>4</v>
      </c>
      <c r="AH28" s="23">
        <f>((AH26*0.5)/AH37)*$AH$20</f>
        <v>29679.6744</v>
      </c>
      <c r="AI28" s="23">
        <f t="shared" ref="AI28:AS28" si="34">((AI26*0.5)/AI37)*$AH$20</f>
        <v>33818.293799999999</v>
      </c>
      <c r="AJ28" s="23">
        <f t="shared" si="34"/>
        <v>37061.803264462804</v>
      </c>
      <c r="AK28" s="23">
        <f t="shared" si="34"/>
        <v>30258.794699999999</v>
      </c>
      <c r="AL28" s="23">
        <f t="shared" si="34"/>
        <v>42721.906950000004</v>
      </c>
      <c r="AM28" s="23">
        <f t="shared" si="34"/>
        <v>59765.678550000004</v>
      </c>
      <c r="AN28" s="23">
        <f t="shared" si="34"/>
        <v>45549.225314999996</v>
      </c>
      <c r="AO28" s="23">
        <f t="shared" si="34"/>
        <v>56068.795930500004</v>
      </c>
      <c r="AP28" s="23">
        <f t="shared" si="34"/>
        <v>64566.107100000001</v>
      </c>
      <c r="AQ28" s="23">
        <f t="shared" si="34"/>
        <v>114504.82514999999</v>
      </c>
      <c r="AR28" s="23">
        <f t="shared" si="34"/>
        <v>81632.568670612745</v>
      </c>
      <c r="AS28" s="23">
        <f t="shared" si="34"/>
        <v>163997.41968095384</v>
      </c>
      <c r="AT28" s="23">
        <f>SUM(AH28:AS28)</f>
        <v>759625.09351152938</v>
      </c>
      <c r="AV28" s="1" t="s">
        <v>4</v>
      </c>
      <c r="AW28" s="23">
        <f>((AW26*0.5)/AW37)*$AW$20</f>
        <v>50455.446480000006</v>
      </c>
      <c r="AX28" s="23">
        <f t="shared" ref="AX28:BH28" si="35">((AX26*0.5)/AX37)*$AW$20</f>
        <v>57491.099459999998</v>
      </c>
      <c r="AY28" s="23">
        <f t="shared" si="35"/>
        <v>63005.065549586769</v>
      </c>
      <c r="AZ28" s="23">
        <f t="shared" si="35"/>
        <v>51439.950989999998</v>
      </c>
      <c r="BA28" s="23">
        <f t="shared" si="35"/>
        <v>72627.241815000016</v>
      </c>
      <c r="BB28" s="23">
        <f t="shared" si="35"/>
        <v>101601.653535</v>
      </c>
      <c r="BC28" s="23">
        <f t="shared" si="35"/>
        <v>77433.683035499998</v>
      </c>
      <c r="BD28" s="23">
        <f t="shared" si="35"/>
        <v>95316.953081849992</v>
      </c>
      <c r="BE28" s="23">
        <f t="shared" si="35"/>
        <v>109762.38207000001</v>
      </c>
      <c r="BF28" s="23">
        <f t="shared" si="35"/>
        <v>194658.20275499998</v>
      </c>
      <c r="BG28" s="23">
        <f t="shared" si="35"/>
        <v>138775.36674004165</v>
      </c>
      <c r="BH28" s="23">
        <f t="shared" si="35"/>
        <v>278795.61345762154</v>
      </c>
      <c r="BI28" s="23">
        <f>SUM(AW28:BH28)</f>
        <v>1291362.6589696</v>
      </c>
    </row>
    <row r="29" spans="2:61" x14ac:dyDescent="0.2"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30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30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30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30"/>
    </row>
    <row r="30" spans="2:61" ht="15.75" x14ac:dyDescent="0.25">
      <c r="C30" s="6" t="s">
        <v>5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30"/>
      <c r="R30" s="6" t="s">
        <v>5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30"/>
      <c r="AG30" s="6" t="s">
        <v>5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30"/>
      <c r="AV30" s="6" t="s">
        <v>5</v>
      </c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30"/>
    </row>
    <row r="31" spans="2:61" x14ac:dyDescent="0.2">
      <c r="C31" s="1" t="s">
        <v>39</v>
      </c>
      <c r="D31" s="30">
        <f t="shared" ref="D31:O31" si="36">D26/D37</f>
        <v>193.98479999999998</v>
      </c>
      <c r="E31" s="30">
        <f t="shared" si="36"/>
        <v>221.03460000000001</v>
      </c>
      <c r="F31" s="30">
        <f t="shared" si="36"/>
        <v>242.2340082644628</v>
      </c>
      <c r="G31" s="30">
        <f t="shared" si="36"/>
        <v>197.76990000000001</v>
      </c>
      <c r="H31" s="30">
        <f t="shared" si="36"/>
        <v>279.22814999999997</v>
      </c>
      <c r="I31" s="30">
        <f t="shared" si="36"/>
        <v>390.62534999999997</v>
      </c>
      <c r="J31" s="30">
        <f t="shared" si="36"/>
        <v>297.70735500000001</v>
      </c>
      <c r="K31" s="30">
        <f t="shared" si="36"/>
        <v>366.46271849999999</v>
      </c>
      <c r="L31" s="30">
        <f t="shared" si="36"/>
        <v>422.00069999999999</v>
      </c>
      <c r="M31" s="30">
        <f t="shared" si="36"/>
        <v>748.39754999999991</v>
      </c>
      <c r="N31" s="30">
        <f t="shared" si="36"/>
        <v>533.54620046152115</v>
      </c>
      <c r="O31" s="30">
        <f t="shared" si="36"/>
        <v>1071.8785600062342</v>
      </c>
      <c r="P31" s="30">
        <f>SUM(D31:O31)</f>
        <v>4964.8698922322183</v>
      </c>
      <c r="R31" s="1" t="s">
        <v>39</v>
      </c>
      <c r="S31" s="30">
        <f t="shared" ref="S31:AD31" si="37">S26/S37</f>
        <v>303.62838260869569</v>
      </c>
      <c r="T31" s="30">
        <f t="shared" si="37"/>
        <v>345.96720000000005</v>
      </c>
      <c r="U31" s="30">
        <f t="shared" si="37"/>
        <v>379.14888250089831</v>
      </c>
      <c r="V31" s="30">
        <f t="shared" si="37"/>
        <v>309.55288695652172</v>
      </c>
      <c r="W31" s="30">
        <f t="shared" si="37"/>
        <v>437.05275652173918</v>
      </c>
      <c r="X31" s="30">
        <f t="shared" si="37"/>
        <v>611.41359130434785</v>
      </c>
      <c r="Y31" s="30">
        <f t="shared" si="37"/>
        <v>465.97672956521734</v>
      </c>
      <c r="Z31" s="30">
        <f t="shared" si="37"/>
        <v>573.59382026086951</v>
      </c>
      <c r="AA31" s="30">
        <f t="shared" si="37"/>
        <v>660.5228347826087</v>
      </c>
      <c r="AB31" s="30">
        <f t="shared" si="37"/>
        <v>1171.404860869565</v>
      </c>
      <c r="AC31" s="30">
        <f t="shared" si="37"/>
        <v>835.11579202672885</v>
      </c>
      <c r="AD31" s="30">
        <f t="shared" si="37"/>
        <v>1677.7229634880189</v>
      </c>
      <c r="AE31" s="30">
        <f>SUM(S31:AD31)</f>
        <v>7771.1007008852102</v>
      </c>
      <c r="AG31" s="1" t="s">
        <v>39</v>
      </c>
      <c r="AH31" s="30">
        <f t="shared" ref="AH31:AS31" si="38">AH26/AH37</f>
        <v>469.24386403162055</v>
      </c>
      <c r="AI31" s="30">
        <f t="shared" si="38"/>
        <v>534.67658181818183</v>
      </c>
      <c r="AJ31" s="30">
        <f t="shared" si="38"/>
        <v>585.9573638650246</v>
      </c>
      <c r="AK31" s="30">
        <f t="shared" si="38"/>
        <v>478.3999162055336</v>
      </c>
      <c r="AL31" s="30">
        <f t="shared" si="38"/>
        <v>675.44516916996054</v>
      </c>
      <c r="AM31" s="30">
        <f t="shared" si="38"/>
        <v>944.91191383399212</v>
      </c>
      <c r="AN31" s="30">
        <f t="shared" si="38"/>
        <v>720.14585478260858</v>
      </c>
      <c r="AO31" s="30">
        <f t="shared" si="38"/>
        <v>886.46317676679848</v>
      </c>
      <c r="AP31" s="30">
        <f t="shared" si="38"/>
        <v>1020.8080173913044</v>
      </c>
      <c r="AQ31" s="30">
        <f t="shared" si="38"/>
        <v>1810.3529667984187</v>
      </c>
      <c r="AR31" s="30">
        <f t="shared" si="38"/>
        <v>1290.6334967685809</v>
      </c>
      <c r="AS31" s="30">
        <f t="shared" si="38"/>
        <v>2592.8445799360293</v>
      </c>
      <c r="AT31" s="30">
        <f>SUM(AH31:AS31)</f>
        <v>12009.882901368053</v>
      </c>
      <c r="AV31" s="1" t="s">
        <v>39</v>
      </c>
      <c r="AW31" s="30">
        <f t="shared" ref="AW31:BH31" si="39">AW26/AW37</f>
        <v>725.19506259432274</v>
      </c>
      <c r="AX31" s="30">
        <f t="shared" si="39"/>
        <v>826.3183537190082</v>
      </c>
      <c r="AY31" s="30">
        <f t="shared" si="39"/>
        <v>905.57047142776526</v>
      </c>
      <c r="AZ31" s="30">
        <f t="shared" si="39"/>
        <v>739.34532504491551</v>
      </c>
      <c r="BA31" s="30">
        <f t="shared" si="39"/>
        <v>1043.86980689903</v>
      </c>
      <c r="BB31" s="30">
        <f t="shared" si="39"/>
        <v>1460.318412288897</v>
      </c>
      <c r="BC31" s="30">
        <f t="shared" si="39"/>
        <v>1112.9526846640315</v>
      </c>
      <c r="BD31" s="30">
        <f t="shared" si="39"/>
        <v>1369.9885459123248</v>
      </c>
      <c r="BE31" s="30">
        <f t="shared" si="39"/>
        <v>1577.612390513834</v>
      </c>
      <c r="BF31" s="30">
        <f t="shared" si="39"/>
        <v>2797.8182214157378</v>
      </c>
      <c r="BG31" s="30">
        <f t="shared" si="39"/>
        <v>1994.6154040968975</v>
      </c>
      <c r="BH31" s="30">
        <f t="shared" si="39"/>
        <v>4007.1234417193177</v>
      </c>
      <c r="BI31" s="30">
        <f>SUM(AW31:BH31)</f>
        <v>18560.728120296084</v>
      </c>
    </row>
    <row r="32" spans="2:61" x14ac:dyDescent="0.2">
      <c r="C32" s="1" t="s">
        <v>3</v>
      </c>
      <c r="D32" s="30">
        <f t="shared" ref="D32:O32" si="40">D27/D37</f>
        <v>50.443981000000001</v>
      </c>
      <c r="E32" s="30">
        <f t="shared" si="40"/>
        <v>70.636650000000003</v>
      </c>
      <c r="F32" s="30">
        <f t="shared" si="40"/>
        <v>102.01532650000003</v>
      </c>
      <c r="G32" s="30">
        <f t="shared" si="40"/>
        <v>84.41</v>
      </c>
      <c r="H32" s="30">
        <f t="shared" si="40"/>
        <v>84.5886</v>
      </c>
      <c r="I32" s="30">
        <f t="shared" si="40"/>
        <v>145.07859999999999</v>
      </c>
      <c r="J32" s="30">
        <f t="shared" si="40"/>
        <v>101.02955</v>
      </c>
      <c r="K32" s="30">
        <f t="shared" si="40"/>
        <v>147.3621</v>
      </c>
      <c r="L32" s="30">
        <f t="shared" si="40"/>
        <v>212.62260000000001</v>
      </c>
      <c r="M32" s="30">
        <f t="shared" si="40"/>
        <v>155.65450000000001</v>
      </c>
      <c r="N32" s="30">
        <f t="shared" si="40"/>
        <v>414.09778213649997</v>
      </c>
      <c r="O32" s="30">
        <f t="shared" si="40"/>
        <v>490.48171516124995</v>
      </c>
      <c r="P32" s="30">
        <f>SUM(D32:O32)</f>
        <v>2058.4214047977498</v>
      </c>
      <c r="R32" s="1" t="s">
        <v>3</v>
      </c>
      <c r="S32" s="30">
        <f t="shared" ref="S32:AD32" si="41">S27/S37</f>
        <v>61.410063826086962</v>
      </c>
      <c r="T32" s="30">
        <f t="shared" si="41"/>
        <v>85.992443478260867</v>
      </c>
      <c r="U32" s="30">
        <f t="shared" si="41"/>
        <v>124.19257139130434</v>
      </c>
      <c r="V32" s="30">
        <f t="shared" si="41"/>
        <v>102.76</v>
      </c>
      <c r="W32" s="30">
        <f t="shared" si="41"/>
        <v>102.97742608695651</v>
      </c>
      <c r="X32" s="30">
        <f t="shared" si="41"/>
        <v>176.61742608695653</v>
      </c>
      <c r="Y32" s="30">
        <f t="shared" si="41"/>
        <v>122.99249565217391</v>
      </c>
      <c r="Z32" s="30">
        <f t="shared" si="41"/>
        <v>179.39733913043477</v>
      </c>
      <c r="AA32" s="30">
        <f t="shared" si="41"/>
        <v>258.84490434782612</v>
      </c>
      <c r="AB32" s="30">
        <f t="shared" si="41"/>
        <v>189.49243478260871</v>
      </c>
      <c r="AC32" s="30">
        <f t="shared" si="41"/>
        <v>504.1190391226956</v>
      </c>
      <c r="AD32" s="30">
        <f t="shared" si="41"/>
        <v>597.10817497891298</v>
      </c>
      <c r="AE32" s="30">
        <f>SUM(S32:AD32)</f>
        <v>2505.904318884217</v>
      </c>
      <c r="AG32" s="1" t="s">
        <v>3</v>
      </c>
      <c r="AH32" s="30">
        <f t="shared" ref="AH32:AS32" si="42">AH27/AH37</f>
        <v>66.99279690118577</v>
      </c>
      <c r="AI32" s="30">
        <f t="shared" si="42"/>
        <v>93.809938339920933</v>
      </c>
      <c r="AJ32" s="30">
        <f t="shared" si="42"/>
        <v>135.48280515415018</v>
      </c>
      <c r="AK32" s="30">
        <f t="shared" si="42"/>
        <v>112.10181818181817</v>
      </c>
      <c r="AL32" s="30">
        <f t="shared" si="42"/>
        <v>112.33901027667984</v>
      </c>
      <c r="AM32" s="30">
        <f t="shared" si="42"/>
        <v>192.67355573122529</v>
      </c>
      <c r="AN32" s="30">
        <f t="shared" si="42"/>
        <v>134.17363162055335</v>
      </c>
      <c r="AO32" s="30">
        <f t="shared" si="42"/>
        <v>195.70618814229246</v>
      </c>
      <c r="AP32" s="30">
        <f t="shared" si="42"/>
        <v>282.37625928853754</v>
      </c>
      <c r="AQ32" s="30">
        <f t="shared" si="42"/>
        <v>206.71901976284585</v>
      </c>
      <c r="AR32" s="30">
        <f t="shared" si="42"/>
        <v>549.94804267930431</v>
      </c>
      <c r="AS32" s="30">
        <f t="shared" si="42"/>
        <v>651.39073634063232</v>
      </c>
      <c r="AT32" s="30">
        <f>SUM(AH32:AS32)</f>
        <v>2733.7138024191463</v>
      </c>
      <c r="AV32" s="1" t="s">
        <v>3</v>
      </c>
      <c r="AW32" s="30">
        <f t="shared" ref="AW32:BH32" si="43">AW27/AW37</f>
        <v>73.083051164929941</v>
      </c>
      <c r="AX32" s="30">
        <f t="shared" si="43"/>
        <v>102.33811455264102</v>
      </c>
      <c r="AY32" s="30">
        <f t="shared" si="43"/>
        <v>147.79942380452746</v>
      </c>
      <c r="AZ32" s="30">
        <f t="shared" si="43"/>
        <v>122.29289256198345</v>
      </c>
      <c r="BA32" s="30">
        <f t="shared" si="43"/>
        <v>122.55164757455982</v>
      </c>
      <c r="BB32" s="30">
        <f t="shared" si="43"/>
        <v>210.18933352497308</v>
      </c>
      <c r="BC32" s="30">
        <f t="shared" si="43"/>
        <v>146.37123449514911</v>
      </c>
      <c r="BD32" s="30">
        <f t="shared" si="43"/>
        <v>213.49765979159179</v>
      </c>
      <c r="BE32" s="30">
        <f t="shared" si="43"/>
        <v>308.04682831476822</v>
      </c>
      <c r="BF32" s="30">
        <f t="shared" si="43"/>
        <v>225.51165792310456</v>
      </c>
      <c r="BG32" s="30">
        <f t="shared" si="43"/>
        <v>599.94331928651377</v>
      </c>
      <c r="BH32" s="30">
        <f t="shared" si="43"/>
        <v>710.6080760079625</v>
      </c>
      <c r="BI32" s="30">
        <f>SUM(AW32:BH32)</f>
        <v>2982.2332390027045</v>
      </c>
    </row>
    <row r="33" spans="3:61" x14ac:dyDescent="0.2">
      <c r="C33" s="1" t="s">
        <v>40</v>
      </c>
      <c r="D33" s="30">
        <f t="shared" ref="D33:O33" si="44">D31/D38</f>
        <v>6.4661599999999995</v>
      </c>
      <c r="E33" s="30">
        <f t="shared" si="44"/>
        <v>7.36782</v>
      </c>
      <c r="F33" s="30">
        <f t="shared" si="44"/>
        <v>8.07446694214876</v>
      </c>
      <c r="G33" s="30">
        <f t="shared" si="44"/>
        <v>6.5923300000000005</v>
      </c>
      <c r="H33" s="30">
        <f t="shared" si="44"/>
        <v>9.3076049999999988</v>
      </c>
      <c r="I33" s="30">
        <f t="shared" si="44"/>
        <v>13.020845</v>
      </c>
      <c r="J33" s="30">
        <f t="shared" si="44"/>
        <v>9.9235784999999996</v>
      </c>
      <c r="K33" s="30">
        <f t="shared" si="44"/>
        <v>12.21542395</v>
      </c>
      <c r="L33" s="30">
        <f t="shared" si="44"/>
        <v>14.066689999999999</v>
      </c>
      <c r="M33" s="30">
        <f t="shared" si="44"/>
        <v>24.946584999999995</v>
      </c>
      <c r="N33" s="30">
        <f t="shared" si="44"/>
        <v>17.784873348717372</v>
      </c>
      <c r="O33" s="30">
        <f t="shared" si="44"/>
        <v>35.729285333541142</v>
      </c>
      <c r="P33" s="30">
        <f>SUM(D33:O33)</f>
        <v>165.49566307440728</v>
      </c>
      <c r="R33" s="1" t="s">
        <v>40</v>
      </c>
      <c r="S33" s="30">
        <f t="shared" ref="S33:AD33" si="45">S31/S38</f>
        <v>10.120946086956524</v>
      </c>
      <c r="T33" s="30">
        <f t="shared" si="45"/>
        <v>11.532240000000002</v>
      </c>
      <c r="U33" s="30">
        <f t="shared" si="45"/>
        <v>12.638296083363278</v>
      </c>
      <c r="V33" s="30">
        <f t="shared" si="45"/>
        <v>10.318429565217391</v>
      </c>
      <c r="W33" s="30">
        <f t="shared" si="45"/>
        <v>14.568425217391306</v>
      </c>
      <c r="X33" s="30">
        <f t="shared" si="45"/>
        <v>20.380453043478262</v>
      </c>
      <c r="Y33" s="30">
        <f t="shared" si="45"/>
        <v>15.532557652173912</v>
      </c>
      <c r="Z33" s="30">
        <f t="shared" si="45"/>
        <v>19.119794008695649</v>
      </c>
      <c r="AA33" s="30">
        <f t="shared" si="45"/>
        <v>22.017427826086955</v>
      </c>
      <c r="AB33" s="30">
        <f t="shared" si="45"/>
        <v>39.046828695652167</v>
      </c>
      <c r="AC33" s="30">
        <f t="shared" si="45"/>
        <v>27.837193067557628</v>
      </c>
      <c r="AD33" s="30">
        <f t="shared" si="45"/>
        <v>55.92409878293396</v>
      </c>
      <c r="AE33" s="30">
        <f>SUM(S33:AD33)</f>
        <v>259.03669002950704</v>
      </c>
      <c r="AG33" s="1" t="s">
        <v>40</v>
      </c>
      <c r="AH33" s="30">
        <f t="shared" ref="AH33:AS33" si="46">AH31/AH38</f>
        <v>15.641462134387352</v>
      </c>
      <c r="AI33" s="30">
        <f t="shared" si="46"/>
        <v>17.822552727272729</v>
      </c>
      <c r="AJ33" s="30">
        <f t="shared" si="46"/>
        <v>19.531912128834154</v>
      </c>
      <c r="AK33" s="30">
        <f t="shared" si="46"/>
        <v>15.946663873517787</v>
      </c>
      <c r="AL33" s="30">
        <f t="shared" si="46"/>
        <v>22.514838972332019</v>
      </c>
      <c r="AM33" s="30">
        <f t="shared" si="46"/>
        <v>31.497063794466403</v>
      </c>
      <c r="AN33" s="30">
        <f t="shared" si="46"/>
        <v>24.004861826086952</v>
      </c>
      <c r="AO33" s="30">
        <f t="shared" si="46"/>
        <v>29.548772558893283</v>
      </c>
      <c r="AP33" s="30">
        <f t="shared" si="46"/>
        <v>34.026933913043479</v>
      </c>
      <c r="AQ33" s="30">
        <f t="shared" si="46"/>
        <v>60.345098893280621</v>
      </c>
      <c r="AR33" s="30">
        <f t="shared" si="46"/>
        <v>43.021116558952698</v>
      </c>
      <c r="AS33" s="30">
        <f t="shared" si="46"/>
        <v>86.428152664534309</v>
      </c>
      <c r="AT33" s="30">
        <f>SUM(AH33:AS33)</f>
        <v>400.32943004560184</v>
      </c>
      <c r="AV33" s="1" t="s">
        <v>40</v>
      </c>
      <c r="AW33" s="30">
        <f t="shared" ref="AW33:BH33" si="47">AW31/AW38</f>
        <v>24.17316875314409</v>
      </c>
      <c r="AX33" s="30">
        <f t="shared" si="47"/>
        <v>27.543945123966939</v>
      </c>
      <c r="AY33" s="30">
        <f t="shared" si="47"/>
        <v>30.18568238092551</v>
      </c>
      <c r="AZ33" s="30">
        <f t="shared" si="47"/>
        <v>24.64484416816385</v>
      </c>
      <c r="BA33" s="30">
        <f t="shared" si="47"/>
        <v>34.795660229967666</v>
      </c>
      <c r="BB33" s="30">
        <f t="shared" si="47"/>
        <v>48.677280409629901</v>
      </c>
      <c r="BC33" s="30">
        <f t="shared" si="47"/>
        <v>37.098422822134381</v>
      </c>
      <c r="BD33" s="30">
        <f t="shared" si="47"/>
        <v>45.66628486374416</v>
      </c>
      <c r="BE33" s="30">
        <f t="shared" si="47"/>
        <v>52.587079683794471</v>
      </c>
      <c r="BF33" s="30">
        <f t="shared" si="47"/>
        <v>93.26060738052459</v>
      </c>
      <c r="BG33" s="30">
        <f t="shared" si="47"/>
        <v>66.487180136563254</v>
      </c>
      <c r="BH33" s="30">
        <f t="shared" si="47"/>
        <v>133.57078139064393</v>
      </c>
      <c r="BI33" s="30">
        <f>SUM(AW33:BH33)</f>
        <v>618.69093734320279</v>
      </c>
    </row>
    <row r="34" spans="3:61" x14ac:dyDescent="0.2">
      <c r="C34" s="1" t="s">
        <v>41</v>
      </c>
      <c r="D34" s="30">
        <f t="shared" ref="D34:O34" si="48">D32/D38</f>
        <v>1.6814660333333333</v>
      </c>
      <c r="E34" s="30">
        <f t="shared" si="48"/>
        <v>2.354555</v>
      </c>
      <c r="F34" s="30">
        <f t="shared" si="48"/>
        <v>3.4005108833333342</v>
      </c>
      <c r="G34" s="30">
        <f t="shared" si="48"/>
        <v>2.8136666666666668</v>
      </c>
      <c r="H34" s="30">
        <f t="shared" si="48"/>
        <v>2.81962</v>
      </c>
      <c r="I34" s="30">
        <f t="shared" si="48"/>
        <v>4.8359533333333333</v>
      </c>
      <c r="J34" s="30">
        <f t="shared" si="48"/>
        <v>3.3676516666666667</v>
      </c>
      <c r="K34" s="30">
        <f t="shared" si="48"/>
        <v>4.9120699999999999</v>
      </c>
      <c r="L34" s="30">
        <f t="shared" si="48"/>
        <v>7.0874199999999998</v>
      </c>
      <c r="M34" s="30">
        <f t="shared" si="48"/>
        <v>5.188483333333334</v>
      </c>
      <c r="N34" s="30">
        <f t="shared" si="48"/>
        <v>13.803259404549999</v>
      </c>
      <c r="O34" s="30">
        <f t="shared" si="48"/>
        <v>16.349390505374998</v>
      </c>
      <c r="P34" s="30">
        <f>SUM(D34:O34)</f>
        <v>68.614046826591675</v>
      </c>
      <c r="R34" s="1" t="s">
        <v>41</v>
      </c>
      <c r="S34" s="30">
        <f t="shared" ref="S34:AD34" si="49">S32/S38</f>
        <v>2.0470021275362322</v>
      </c>
      <c r="T34" s="30">
        <f t="shared" si="49"/>
        <v>2.8664147826086954</v>
      </c>
      <c r="U34" s="30">
        <f t="shared" si="49"/>
        <v>4.1397523797101448</v>
      </c>
      <c r="V34" s="30">
        <f t="shared" si="49"/>
        <v>3.4253333333333336</v>
      </c>
      <c r="W34" s="30">
        <f t="shared" si="49"/>
        <v>3.4325808695652169</v>
      </c>
      <c r="X34" s="30">
        <f t="shared" si="49"/>
        <v>5.8872475362318841</v>
      </c>
      <c r="Y34" s="30">
        <f t="shared" si="49"/>
        <v>4.0997498550724636</v>
      </c>
      <c r="Z34" s="30">
        <f t="shared" si="49"/>
        <v>5.9799113043478256</v>
      </c>
      <c r="AA34" s="30">
        <f t="shared" si="49"/>
        <v>8.6281634782608698</v>
      </c>
      <c r="AB34" s="30">
        <f t="shared" si="49"/>
        <v>6.3164144927536237</v>
      </c>
      <c r="AC34" s="30">
        <f t="shared" si="49"/>
        <v>16.803967970756521</v>
      </c>
      <c r="AD34" s="30">
        <f t="shared" si="49"/>
        <v>19.903605832630433</v>
      </c>
      <c r="AE34" s="30">
        <f>SUM(S34:AD34)</f>
        <v>83.530143962807244</v>
      </c>
      <c r="AG34" s="1" t="s">
        <v>41</v>
      </c>
      <c r="AH34" s="30">
        <f t="shared" ref="AH34:AS34" si="50">AH32/AH38</f>
        <v>2.2330932300395259</v>
      </c>
      <c r="AI34" s="30">
        <f t="shared" si="50"/>
        <v>3.1269979446640312</v>
      </c>
      <c r="AJ34" s="30">
        <f t="shared" si="50"/>
        <v>4.5160935051383397</v>
      </c>
      <c r="AK34" s="30">
        <f t="shared" si="50"/>
        <v>3.7367272727272725</v>
      </c>
      <c r="AL34" s="30">
        <f t="shared" si="50"/>
        <v>3.7446336758893279</v>
      </c>
      <c r="AM34" s="30">
        <f t="shared" si="50"/>
        <v>6.42245185770751</v>
      </c>
      <c r="AN34" s="30">
        <f t="shared" si="50"/>
        <v>4.4724543873517781</v>
      </c>
      <c r="AO34" s="30">
        <f t="shared" si="50"/>
        <v>6.5235396047430818</v>
      </c>
      <c r="AP34" s="30">
        <f t="shared" si="50"/>
        <v>9.4125419762845848</v>
      </c>
      <c r="AQ34" s="30">
        <f t="shared" si="50"/>
        <v>6.8906339920948616</v>
      </c>
      <c r="AR34" s="30">
        <f t="shared" si="50"/>
        <v>18.331601422643477</v>
      </c>
      <c r="AS34" s="30">
        <f t="shared" si="50"/>
        <v>21.713024544687745</v>
      </c>
      <c r="AT34" s="30">
        <f>SUM(AH34:AS34)</f>
        <v>91.123793413971526</v>
      </c>
      <c r="AV34" s="1" t="s">
        <v>41</v>
      </c>
      <c r="AW34" s="30">
        <f t="shared" ref="AW34:BH34" si="51">AW32/AW38</f>
        <v>2.4361017054976646</v>
      </c>
      <c r="AX34" s="30">
        <f t="shared" si="51"/>
        <v>3.4112704850880338</v>
      </c>
      <c r="AY34" s="30">
        <f t="shared" si="51"/>
        <v>4.9266474601509156</v>
      </c>
      <c r="AZ34" s="30">
        <f t="shared" si="51"/>
        <v>4.0764297520661152</v>
      </c>
      <c r="BA34" s="30">
        <f t="shared" si="51"/>
        <v>4.085054919151994</v>
      </c>
      <c r="BB34" s="30">
        <f t="shared" si="51"/>
        <v>7.0063111174991031</v>
      </c>
      <c r="BC34" s="30">
        <f t="shared" si="51"/>
        <v>4.8790411498383035</v>
      </c>
      <c r="BD34" s="30">
        <f t="shared" si="51"/>
        <v>7.1165886597197261</v>
      </c>
      <c r="BE34" s="30">
        <f t="shared" si="51"/>
        <v>10.268227610492273</v>
      </c>
      <c r="BF34" s="30">
        <f t="shared" si="51"/>
        <v>7.5170552641034858</v>
      </c>
      <c r="BG34" s="30">
        <f t="shared" si="51"/>
        <v>19.998110642883791</v>
      </c>
      <c r="BH34" s="30">
        <f t="shared" si="51"/>
        <v>23.686935866932082</v>
      </c>
      <c r="BI34" s="30">
        <f>SUM(AW34:BH34)</f>
        <v>99.407774633423486</v>
      </c>
    </row>
    <row r="37" spans="3:61" x14ac:dyDescent="0.2">
      <c r="C37" s="1" t="s">
        <v>20</v>
      </c>
      <c r="D37" s="23">
        <v>1000</v>
      </c>
      <c r="E37" s="23">
        <v>1000</v>
      </c>
      <c r="F37" s="23">
        <v>1000</v>
      </c>
      <c r="G37" s="23">
        <v>1000</v>
      </c>
      <c r="H37" s="23">
        <v>1000</v>
      </c>
      <c r="I37" s="23">
        <v>1000</v>
      </c>
      <c r="J37" s="23">
        <v>1000</v>
      </c>
      <c r="K37" s="23">
        <v>1000</v>
      </c>
      <c r="L37" s="23">
        <v>1000</v>
      </c>
      <c r="M37" s="23">
        <v>1000</v>
      </c>
      <c r="N37" s="23">
        <v>1000</v>
      </c>
      <c r="O37" s="23">
        <v>1000</v>
      </c>
      <c r="R37" s="1" t="s">
        <v>20</v>
      </c>
      <c r="S37" s="23">
        <v>1150</v>
      </c>
      <c r="T37" s="23">
        <v>1150</v>
      </c>
      <c r="U37" s="23">
        <v>1150</v>
      </c>
      <c r="V37" s="23">
        <v>1150</v>
      </c>
      <c r="W37" s="23">
        <v>1150</v>
      </c>
      <c r="X37" s="23">
        <v>1150</v>
      </c>
      <c r="Y37" s="23">
        <v>1150</v>
      </c>
      <c r="Z37" s="23">
        <v>1150</v>
      </c>
      <c r="AA37" s="23">
        <v>1150</v>
      </c>
      <c r="AB37" s="23">
        <v>1150</v>
      </c>
      <c r="AC37" s="23">
        <v>1150</v>
      </c>
      <c r="AD37" s="23">
        <v>1150</v>
      </c>
      <c r="AG37" s="1" t="s">
        <v>20</v>
      </c>
      <c r="AH37" s="23">
        <f>S37*$AH$19</f>
        <v>1265</v>
      </c>
      <c r="AI37" s="23">
        <f t="shared" ref="AI37:AS37" si="52">T37*$AH$19</f>
        <v>1265</v>
      </c>
      <c r="AJ37" s="23">
        <f t="shared" si="52"/>
        <v>1265</v>
      </c>
      <c r="AK37" s="23">
        <f t="shared" si="52"/>
        <v>1265</v>
      </c>
      <c r="AL37" s="23">
        <f t="shared" si="52"/>
        <v>1265</v>
      </c>
      <c r="AM37" s="23">
        <f t="shared" si="52"/>
        <v>1265</v>
      </c>
      <c r="AN37" s="23">
        <f t="shared" si="52"/>
        <v>1265</v>
      </c>
      <c r="AO37" s="23">
        <f t="shared" si="52"/>
        <v>1265</v>
      </c>
      <c r="AP37" s="23">
        <f t="shared" si="52"/>
        <v>1265</v>
      </c>
      <c r="AQ37" s="23">
        <f t="shared" si="52"/>
        <v>1265</v>
      </c>
      <c r="AR37" s="23">
        <f t="shared" si="52"/>
        <v>1265</v>
      </c>
      <c r="AS37" s="23">
        <f t="shared" si="52"/>
        <v>1265</v>
      </c>
      <c r="AV37" s="1" t="s">
        <v>20</v>
      </c>
      <c r="AW37" s="23">
        <f>AH37*$AH$19</f>
        <v>1391.5</v>
      </c>
      <c r="AX37" s="23">
        <f t="shared" ref="AX37:BH37" si="53">AI37*$AH$19</f>
        <v>1391.5</v>
      </c>
      <c r="AY37" s="23">
        <f t="shared" si="53"/>
        <v>1391.5</v>
      </c>
      <c r="AZ37" s="23">
        <f t="shared" si="53"/>
        <v>1391.5</v>
      </c>
      <c r="BA37" s="23">
        <f t="shared" si="53"/>
        <v>1391.5</v>
      </c>
      <c r="BB37" s="23">
        <f t="shared" si="53"/>
        <v>1391.5</v>
      </c>
      <c r="BC37" s="23">
        <f t="shared" si="53"/>
        <v>1391.5</v>
      </c>
      <c r="BD37" s="23">
        <f t="shared" si="53"/>
        <v>1391.5</v>
      </c>
      <c r="BE37" s="23">
        <f t="shared" si="53"/>
        <v>1391.5</v>
      </c>
      <c r="BF37" s="23">
        <f t="shared" si="53"/>
        <v>1391.5</v>
      </c>
      <c r="BG37" s="23">
        <f t="shared" si="53"/>
        <v>1391.5</v>
      </c>
      <c r="BH37" s="23">
        <f t="shared" si="53"/>
        <v>1391.5</v>
      </c>
    </row>
    <row r="38" spans="3:61" hidden="1" x14ac:dyDescent="0.2">
      <c r="C38" s="1" t="s">
        <v>38</v>
      </c>
      <c r="D38" s="1">
        <v>30</v>
      </c>
      <c r="E38" s="1">
        <v>30</v>
      </c>
      <c r="F38" s="1">
        <v>30</v>
      </c>
      <c r="G38" s="1">
        <v>30</v>
      </c>
      <c r="H38" s="1">
        <v>30</v>
      </c>
      <c r="I38" s="1">
        <v>30</v>
      </c>
      <c r="J38" s="1">
        <v>30</v>
      </c>
      <c r="K38" s="1">
        <v>30</v>
      </c>
      <c r="L38" s="1">
        <v>30</v>
      </c>
      <c r="M38" s="1">
        <v>30</v>
      </c>
      <c r="N38" s="1">
        <v>30</v>
      </c>
      <c r="O38" s="1">
        <v>30</v>
      </c>
      <c r="R38" s="1" t="s">
        <v>38</v>
      </c>
      <c r="S38" s="1">
        <v>30</v>
      </c>
      <c r="T38" s="1">
        <v>30</v>
      </c>
      <c r="U38" s="1">
        <v>30</v>
      </c>
      <c r="V38" s="1">
        <v>30</v>
      </c>
      <c r="W38" s="1">
        <v>30</v>
      </c>
      <c r="X38" s="1">
        <v>30</v>
      </c>
      <c r="Y38" s="1">
        <v>30</v>
      </c>
      <c r="Z38" s="1">
        <v>30</v>
      </c>
      <c r="AA38" s="1">
        <v>30</v>
      </c>
      <c r="AB38" s="1">
        <v>30</v>
      </c>
      <c r="AC38" s="1">
        <v>30</v>
      </c>
      <c r="AD38" s="1">
        <v>30</v>
      </c>
      <c r="AG38" s="1" t="s">
        <v>38</v>
      </c>
      <c r="AH38" s="1">
        <v>30</v>
      </c>
      <c r="AI38" s="1">
        <v>30</v>
      </c>
      <c r="AJ38" s="1">
        <v>30</v>
      </c>
      <c r="AK38" s="1">
        <v>30</v>
      </c>
      <c r="AL38" s="1">
        <v>30</v>
      </c>
      <c r="AM38" s="1">
        <v>30</v>
      </c>
      <c r="AN38" s="1">
        <v>30</v>
      </c>
      <c r="AO38" s="1">
        <v>30</v>
      </c>
      <c r="AP38" s="1">
        <v>30</v>
      </c>
      <c r="AQ38" s="1">
        <v>30</v>
      </c>
      <c r="AR38" s="1">
        <v>30</v>
      </c>
      <c r="AS38" s="1">
        <v>30</v>
      </c>
      <c r="AV38" s="1" t="s">
        <v>38</v>
      </c>
      <c r="AW38" s="1">
        <v>30</v>
      </c>
      <c r="AX38" s="1">
        <v>30</v>
      </c>
      <c r="AY38" s="1">
        <v>30</v>
      </c>
      <c r="AZ38" s="1">
        <v>30</v>
      </c>
      <c r="BA38" s="1">
        <v>30</v>
      </c>
      <c r="BB38" s="1">
        <v>30</v>
      </c>
      <c r="BC38" s="1">
        <v>30</v>
      </c>
      <c r="BD38" s="1">
        <v>30</v>
      </c>
      <c r="BE38" s="1">
        <v>30</v>
      </c>
      <c r="BF38" s="1">
        <v>30</v>
      </c>
      <c r="BG38" s="1">
        <v>30</v>
      </c>
      <c r="BH38" s="1">
        <v>30</v>
      </c>
    </row>
    <row r="39" spans="3:61" x14ac:dyDescent="0.2">
      <c r="P39" s="30"/>
      <c r="AE39" s="30"/>
      <c r="AT39" s="30"/>
      <c r="BI39" s="30"/>
    </row>
    <row r="40" spans="3:61" x14ac:dyDescent="0.2">
      <c r="S40" s="23"/>
    </row>
    <row r="41" spans="3:61" ht="17.100000000000001" customHeight="1" x14ac:dyDescent="0.2"/>
    <row r="47" spans="3:61" hidden="1" x14ac:dyDescent="0.2">
      <c r="R47" s="1" t="s">
        <v>114</v>
      </c>
    </row>
    <row r="48" spans="3:61" hidden="1" x14ac:dyDescent="0.2">
      <c r="R48" s="1" t="s">
        <v>105</v>
      </c>
      <c r="S48" s="108">
        <v>3</v>
      </c>
    </row>
    <row r="49" spans="18:23" hidden="1" x14ac:dyDescent="0.2">
      <c r="R49" s="1" t="s">
        <v>106</v>
      </c>
      <c r="S49" s="23">
        <v>10000</v>
      </c>
    </row>
    <row r="50" spans="18:23" hidden="1" x14ac:dyDescent="0.2">
      <c r="R50" s="1" t="s">
        <v>107</v>
      </c>
      <c r="S50" s="23">
        <f>(200000/12)*10%</f>
        <v>1666.666666666667</v>
      </c>
    </row>
    <row r="51" spans="18:23" hidden="1" x14ac:dyDescent="0.2">
      <c r="R51" s="1" t="s">
        <v>115</v>
      </c>
      <c r="S51" s="157">
        <v>800</v>
      </c>
    </row>
    <row r="55" spans="18:23" hidden="1" x14ac:dyDescent="0.2">
      <c r="R55" s="1" t="s">
        <v>116</v>
      </c>
      <c r="S55" s="1">
        <v>2018</v>
      </c>
      <c r="T55" s="1">
        <v>2019</v>
      </c>
      <c r="U55" s="1">
        <v>2020</v>
      </c>
      <c r="V55" s="1" t="s">
        <v>120</v>
      </c>
      <c r="W55" s="1" t="s">
        <v>117</v>
      </c>
    </row>
    <row r="56" spans="18:23" hidden="1" x14ac:dyDescent="0.2">
      <c r="R56" s="108" t="s">
        <v>118</v>
      </c>
      <c r="S56" s="158">
        <v>67398000</v>
      </c>
      <c r="T56" s="158">
        <f>S56*2</f>
        <v>134796000</v>
      </c>
      <c r="U56" s="158">
        <f>T56*1.7</f>
        <v>229153200</v>
      </c>
      <c r="V56" s="108">
        <f>U56+T56+S56</f>
        <v>431347200</v>
      </c>
      <c r="W56" s="108">
        <f>V56+V57</f>
        <v>676007896</v>
      </c>
    </row>
    <row r="57" spans="18:23" hidden="1" x14ac:dyDescent="0.2">
      <c r="R57" s="108" t="s">
        <v>119</v>
      </c>
      <c r="S57" s="158">
        <v>63383599.999999993</v>
      </c>
      <c r="T57" s="158">
        <f>S57*1.3</f>
        <v>82398680</v>
      </c>
      <c r="U57" s="158">
        <f>T57*1.2</f>
        <v>98878416</v>
      </c>
      <c r="V57" s="159">
        <f>S57+T57+U57</f>
        <v>244660696</v>
      </c>
    </row>
    <row r="58" spans="18:23" hidden="1" x14ac:dyDescent="0.2">
      <c r="W58" s="35"/>
    </row>
    <row r="59" spans="18:23" hidden="1" x14ac:dyDescent="0.2">
      <c r="R59" s="108" t="s">
        <v>118</v>
      </c>
      <c r="S59" s="160">
        <f>AE26</f>
        <v>8936765.806017993</v>
      </c>
      <c r="T59" s="23">
        <f>AT26</f>
        <v>15192501.870230587</v>
      </c>
      <c r="U59" s="23">
        <f>BI26</f>
        <v>25827253.179391995</v>
      </c>
      <c r="V59" s="23">
        <f>SUM(S59:U59)</f>
        <v>49956520.855640575</v>
      </c>
      <c r="W59" s="23">
        <f>V59+V61</f>
        <v>60446236.334489912</v>
      </c>
    </row>
    <row r="60" spans="18:23" hidden="1" x14ac:dyDescent="0.2">
      <c r="S60" s="35">
        <f>S59/S56</f>
        <v>0.13259689910706537</v>
      </c>
      <c r="T60" s="35">
        <f>T59/T56</f>
        <v>0.11270736424100557</v>
      </c>
      <c r="U60" s="35">
        <f>U59/U56</f>
        <v>0.11270736424100555</v>
      </c>
      <c r="V60" s="35">
        <f>V59/V56</f>
        <v>0.11581510406382742</v>
      </c>
    </row>
    <row r="61" spans="18:23" hidden="1" x14ac:dyDescent="0.2">
      <c r="R61" s="108" t="s">
        <v>119</v>
      </c>
      <c r="S61" s="23">
        <f>AE27</f>
        <v>2881789.9667168502</v>
      </c>
      <c r="T61" s="23">
        <f>AT27</f>
        <v>3458147.9600602197</v>
      </c>
      <c r="U61" s="23">
        <f>BI27</f>
        <v>4149777.5520722633</v>
      </c>
      <c r="V61" s="23">
        <f>SUM(S61:U61)</f>
        <v>10489715.478849333</v>
      </c>
    </row>
    <row r="62" spans="18:23" hidden="1" x14ac:dyDescent="0.2">
      <c r="S62" s="35">
        <f>S61/S57</f>
        <v>4.5465861306660561E-2</v>
      </c>
      <c r="T62" s="35">
        <f t="shared" ref="T62:V62" si="54">T61/T57</f>
        <v>4.1968487359994359E-2</v>
      </c>
      <c r="U62" s="35">
        <f t="shared" si="54"/>
        <v>4.1968487359994353E-2</v>
      </c>
      <c r="V62" s="35">
        <f t="shared" si="54"/>
        <v>4.2874542786591814E-2</v>
      </c>
      <c r="W62" s="35">
        <f>W59/W56</f>
        <v>8.9416464943909341E-2</v>
      </c>
    </row>
    <row r="63" spans="18:23" hidden="1" x14ac:dyDescent="0.2">
      <c r="V63" s="3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26"/>
  <sheetViews>
    <sheetView showGridLines="0" zoomScale="75" zoomScaleNormal="75" workbookViewId="0">
      <selection activeCell="F16" sqref="F16"/>
    </sheetView>
  </sheetViews>
  <sheetFormatPr baseColWidth="10" defaultColWidth="11.125" defaultRowHeight="15" x14ac:dyDescent="0.2"/>
  <cols>
    <col min="1" max="1" width="4.875" style="1" customWidth="1"/>
    <col min="2" max="2" width="25.875" style="1" customWidth="1"/>
    <col min="3" max="3" width="8.5" style="1" hidden="1" customWidth="1"/>
    <col min="4" max="4" width="12" style="1" customWidth="1"/>
    <col min="5" max="6" width="11" style="1" bestFit="1" customWidth="1"/>
    <col min="7" max="7" width="65" style="1" customWidth="1"/>
    <col min="8" max="16384" width="11.125" style="1"/>
  </cols>
  <sheetData>
    <row r="1" spans="2:7" x14ac:dyDescent="0.2">
      <c r="B1" s="100" t="s">
        <v>98</v>
      </c>
    </row>
    <row r="2" spans="2:7" ht="15.75" thickBot="1" x14ac:dyDescent="0.25">
      <c r="C2" s="100"/>
      <c r="D2" s="100"/>
      <c r="E2" s="100"/>
      <c r="F2" s="100"/>
      <c r="G2" s="100"/>
    </row>
    <row r="3" spans="2:7" ht="16.5" thickBot="1" x14ac:dyDescent="0.25">
      <c r="B3" s="161" t="s">
        <v>126</v>
      </c>
      <c r="C3" s="162">
        <v>2017</v>
      </c>
      <c r="D3" s="162">
        <v>2018</v>
      </c>
      <c r="E3" s="162">
        <v>2019</v>
      </c>
      <c r="F3" s="162">
        <v>2020</v>
      </c>
      <c r="G3" s="163" t="s">
        <v>99</v>
      </c>
    </row>
    <row r="4" spans="2:7" x14ac:dyDescent="0.2">
      <c r="B4" s="164" t="s">
        <v>85</v>
      </c>
      <c r="C4" s="165">
        <v>0.25</v>
      </c>
      <c r="D4" s="165">
        <v>0.15</v>
      </c>
      <c r="E4" s="166">
        <v>0.1</v>
      </c>
      <c r="F4" s="166">
        <v>0.1</v>
      </c>
      <c r="G4" s="167"/>
    </row>
    <row r="5" spans="2:7" x14ac:dyDescent="0.2">
      <c r="B5" s="164" t="s">
        <v>86</v>
      </c>
      <c r="C5" s="168" t="s">
        <v>123</v>
      </c>
      <c r="D5" s="165">
        <v>0.7</v>
      </c>
      <c r="E5" s="166">
        <v>0.7</v>
      </c>
      <c r="F5" s="166">
        <v>0.7</v>
      </c>
      <c r="G5" s="167"/>
    </row>
    <row r="6" spans="2:7" x14ac:dyDescent="0.2">
      <c r="B6" s="164" t="s">
        <v>76</v>
      </c>
      <c r="C6" s="168" t="s">
        <v>123</v>
      </c>
      <c r="D6" s="165">
        <v>0.4</v>
      </c>
      <c r="E6" s="166">
        <v>0.2</v>
      </c>
      <c r="F6" s="166">
        <v>0.2</v>
      </c>
      <c r="G6" s="167"/>
    </row>
    <row r="7" spans="2:7" x14ac:dyDescent="0.2">
      <c r="B7" s="164" t="s">
        <v>87</v>
      </c>
      <c r="C7" s="169">
        <v>5.5E-2</v>
      </c>
      <c r="D7" s="169">
        <v>5.5E-2</v>
      </c>
      <c r="E7" s="170">
        <v>5.5E-2</v>
      </c>
      <c r="F7" s="170">
        <v>5.5E-2</v>
      </c>
      <c r="G7" s="167" t="s">
        <v>88</v>
      </c>
    </row>
    <row r="8" spans="2:7" x14ac:dyDescent="0.2">
      <c r="B8" s="164" t="s">
        <v>89</v>
      </c>
      <c r="C8" s="165">
        <v>0.5</v>
      </c>
      <c r="D8" s="165">
        <v>0.5</v>
      </c>
      <c r="E8" s="166">
        <v>0.5</v>
      </c>
      <c r="F8" s="166">
        <v>0.5</v>
      </c>
      <c r="G8" s="167" t="s">
        <v>125</v>
      </c>
    </row>
    <row r="9" spans="2:7" x14ac:dyDescent="0.2">
      <c r="B9" s="164" t="s">
        <v>90</v>
      </c>
      <c r="C9" s="171">
        <v>1000</v>
      </c>
      <c r="D9" s="171">
        <v>1150</v>
      </c>
      <c r="E9" s="172">
        <v>1265</v>
      </c>
      <c r="F9" s="172">
        <v>1392</v>
      </c>
      <c r="G9" s="167"/>
    </row>
    <row r="10" spans="2:7" x14ac:dyDescent="0.2">
      <c r="B10" s="164" t="s">
        <v>91</v>
      </c>
      <c r="C10" s="171">
        <v>100</v>
      </c>
      <c r="D10" s="171">
        <f>C10*1.15</f>
        <v>114.99999999999999</v>
      </c>
      <c r="E10" s="172">
        <f>D10*1.1</f>
        <v>126.5</v>
      </c>
      <c r="F10" s="172">
        <v>139</v>
      </c>
      <c r="G10" s="167"/>
    </row>
    <row r="11" spans="2:7" x14ac:dyDescent="0.2">
      <c r="B11" s="164" t="s">
        <v>92</v>
      </c>
      <c r="C11" s="169">
        <v>5.5E-2</v>
      </c>
      <c r="D11" s="169">
        <v>5.5E-2</v>
      </c>
      <c r="E11" s="173">
        <v>5.5E-2</v>
      </c>
      <c r="F11" s="173">
        <v>5.5E-2</v>
      </c>
      <c r="G11" s="167"/>
    </row>
    <row r="12" spans="2:7" ht="32.25" customHeight="1" x14ac:dyDescent="0.2">
      <c r="B12" s="164" t="s">
        <v>100</v>
      </c>
      <c r="C12" s="165">
        <v>0.05</v>
      </c>
      <c r="D12" s="165">
        <v>0.05</v>
      </c>
      <c r="E12" s="166">
        <v>0.05</v>
      </c>
      <c r="F12" s="166">
        <v>0.05</v>
      </c>
      <c r="G12" s="167" t="s">
        <v>128</v>
      </c>
    </row>
    <row r="13" spans="2:7" x14ac:dyDescent="0.2">
      <c r="B13" s="164" t="s">
        <v>94</v>
      </c>
      <c r="C13" s="168"/>
      <c r="D13" s="168" t="s">
        <v>95</v>
      </c>
      <c r="E13" s="174"/>
      <c r="F13" s="174"/>
      <c r="G13" s="175"/>
    </row>
    <row r="14" spans="2:7" x14ac:dyDescent="0.2">
      <c r="B14" s="164" t="s">
        <v>47</v>
      </c>
      <c r="C14" s="165"/>
      <c r="D14" s="165">
        <v>0.36</v>
      </c>
      <c r="E14" s="174"/>
      <c r="F14" s="174"/>
      <c r="G14" s="167" t="s">
        <v>122</v>
      </c>
    </row>
    <row r="15" spans="2:7" ht="30" x14ac:dyDescent="0.2">
      <c r="B15" s="164" t="s">
        <v>97</v>
      </c>
      <c r="C15" s="168"/>
      <c r="D15" s="168" t="s">
        <v>127</v>
      </c>
      <c r="E15" s="174"/>
      <c r="F15" s="174"/>
      <c r="G15" s="167" t="s">
        <v>124</v>
      </c>
    </row>
    <row r="16" spans="2:7" ht="15.75" thickBot="1" x14ac:dyDescent="0.25">
      <c r="B16" s="176" t="s">
        <v>108</v>
      </c>
      <c r="C16" s="177">
        <v>18</v>
      </c>
      <c r="D16" s="178">
        <v>20</v>
      </c>
      <c r="E16" s="179">
        <v>21</v>
      </c>
      <c r="F16" s="179">
        <v>21</v>
      </c>
      <c r="G16" s="180"/>
    </row>
    <row r="17" spans="2:7" x14ac:dyDescent="0.2">
      <c r="B17" s="40"/>
      <c r="C17" s="40"/>
      <c r="D17" s="40"/>
      <c r="E17" s="40"/>
      <c r="F17" s="40"/>
      <c r="G17" s="40"/>
    </row>
    <row r="18" spans="2:7" x14ac:dyDescent="0.2">
      <c r="B18" s="40"/>
      <c r="C18" s="40"/>
      <c r="D18" s="40"/>
      <c r="E18" s="40"/>
      <c r="F18" s="40"/>
      <c r="G18" s="40"/>
    </row>
    <row r="19" spans="2:7" x14ac:dyDescent="0.2">
      <c r="B19" s="40"/>
      <c r="C19" s="40"/>
      <c r="D19" s="40"/>
      <c r="E19" s="40"/>
      <c r="F19" s="40"/>
      <c r="G19" s="40"/>
    </row>
    <row r="20" spans="2:7" x14ac:dyDescent="0.2">
      <c r="B20" s="40"/>
      <c r="C20" s="40"/>
      <c r="D20" s="40"/>
      <c r="E20" s="40"/>
      <c r="F20" s="40"/>
      <c r="G20" s="40"/>
    </row>
    <row r="21" spans="2:7" x14ac:dyDescent="0.2">
      <c r="B21" s="40"/>
      <c r="C21" s="40"/>
      <c r="D21" s="40"/>
      <c r="E21" s="40"/>
      <c r="F21" s="40"/>
      <c r="G21" s="40"/>
    </row>
    <row r="22" spans="2:7" x14ac:dyDescent="0.2">
      <c r="B22" s="40"/>
      <c r="C22" s="40"/>
      <c r="D22" s="40"/>
      <c r="E22" s="40"/>
      <c r="F22" s="40"/>
      <c r="G22" s="40"/>
    </row>
    <row r="23" spans="2:7" x14ac:dyDescent="0.2">
      <c r="B23" s="40"/>
      <c r="C23" s="40"/>
      <c r="D23" s="40"/>
      <c r="E23" s="40"/>
      <c r="F23" s="40"/>
      <c r="G23" s="40"/>
    </row>
    <row r="24" spans="2:7" x14ac:dyDescent="0.2">
      <c r="B24" s="40"/>
      <c r="C24" s="40"/>
      <c r="D24" s="40"/>
      <c r="E24" s="40"/>
      <c r="F24" s="40"/>
      <c r="G24" s="40"/>
    </row>
    <row r="25" spans="2:7" x14ac:dyDescent="0.2">
      <c r="B25" s="40"/>
      <c r="C25" s="40"/>
      <c r="D25" s="40"/>
      <c r="E25" s="40"/>
      <c r="F25" s="40"/>
      <c r="G25" s="40"/>
    </row>
    <row r="26" spans="2:7" x14ac:dyDescent="0.2">
      <c r="B26" s="40"/>
      <c r="C26" s="40"/>
      <c r="D26" s="40"/>
      <c r="E26" s="40"/>
      <c r="F26" s="40"/>
      <c r="G26" s="40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7"/>
  <sheetViews>
    <sheetView showGridLines="0" zoomScale="75" zoomScaleNormal="75" workbookViewId="0">
      <selection activeCell="I28" sqref="I28"/>
    </sheetView>
  </sheetViews>
  <sheetFormatPr baseColWidth="10" defaultRowHeight="15" x14ac:dyDescent="0.2"/>
  <cols>
    <col min="1" max="1" width="5.5" style="1" customWidth="1"/>
    <col min="2" max="2" width="23.5" style="1" bestFit="1" customWidth="1"/>
    <col min="3" max="5" width="14.125" style="1" bestFit="1" customWidth="1"/>
    <col min="6" max="16384" width="11" style="1"/>
  </cols>
  <sheetData>
    <row r="1" spans="2:5" ht="26.25" customHeight="1" thickBot="1" x14ac:dyDescent="0.25"/>
    <row r="2" spans="2:5" ht="15.75" thickBot="1" x14ac:dyDescent="0.25">
      <c r="B2" s="181" t="s">
        <v>129</v>
      </c>
      <c r="C2" s="182" t="s">
        <v>130</v>
      </c>
      <c r="D2" s="182" t="s">
        <v>131</v>
      </c>
      <c r="E2" s="183" t="s">
        <v>132</v>
      </c>
    </row>
    <row r="3" spans="2:5" x14ac:dyDescent="0.2">
      <c r="B3" s="184" t="s">
        <v>50</v>
      </c>
      <c r="C3" s="54">
        <v>990878.60097916052</v>
      </c>
      <c r="D3" s="54">
        <v>1572473.2530780558</v>
      </c>
      <c r="E3" s="185">
        <v>2736978.5616788715</v>
      </c>
    </row>
    <row r="4" spans="2:5" ht="15.75" thickBot="1" x14ac:dyDescent="0.25">
      <c r="B4" s="186" t="s">
        <v>51</v>
      </c>
      <c r="C4" s="187">
        <v>729333.46629314881</v>
      </c>
      <c r="D4" s="187">
        <v>870254.76912337635</v>
      </c>
      <c r="E4" s="188">
        <v>1132659.5181764124</v>
      </c>
    </row>
    <row r="5" spans="2:5" ht="15.75" thickBot="1" x14ac:dyDescent="0.25"/>
    <row r="6" spans="2:5" x14ac:dyDescent="0.2">
      <c r="B6" s="189" t="s">
        <v>19</v>
      </c>
      <c r="C6" s="190">
        <v>0.2523740950887754</v>
      </c>
    </row>
    <row r="7" spans="2:5" ht="15.75" thickBot="1" x14ac:dyDescent="0.25">
      <c r="B7" s="186" t="s">
        <v>93</v>
      </c>
      <c r="C7" s="191">
        <v>2732247.7535929387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 P&amp;l 3 años</vt:lpstr>
      <vt:lpstr>Ventas</vt:lpstr>
      <vt:lpstr>ASP</vt:lpstr>
      <vt:lpstr>Remsunen Anual 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</dc:creator>
  <cp:lastModifiedBy>Hemeroteca</cp:lastModifiedBy>
  <dcterms:created xsi:type="dcterms:W3CDTF">2017-11-20T17:57:52Z</dcterms:created>
  <dcterms:modified xsi:type="dcterms:W3CDTF">2019-03-26T13:49:54Z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