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Marketing y Comunicación\WATERMARKED PDF\"/>
    </mc:Choice>
  </mc:AlternateContent>
  <xr:revisionPtr revIDLastSave="0" documentId="8_{7F913EC9-F876-4C5B-8553-5BCEC6725124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Analisis" sheetId="2" r:id="rId1"/>
    <sheet name="Hoja1" sheetId="3" r:id="rId2"/>
    <sheet name="Ejempl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G14" i="2"/>
  <c r="F14" i="2"/>
  <c r="G5" i="2"/>
  <c r="G23" i="2" s="1"/>
  <c r="F5" i="2"/>
  <c r="F23" i="2" s="1"/>
  <c r="E5" i="2"/>
  <c r="E23" i="2" s="1"/>
  <c r="B8" i="3"/>
  <c r="G20" i="2" l="1"/>
  <c r="E20" i="2"/>
  <c r="F20" i="2"/>
  <c r="D33" i="2"/>
  <c r="D35" i="2" s="1"/>
  <c r="H32" i="2"/>
  <c r="H21" i="2"/>
  <c r="G15" i="2"/>
  <c r="E15" i="2"/>
  <c r="H7" i="2"/>
  <c r="G6" i="2"/>
  <c r="G8" i="2" s="1"/>
  <c r="F6" i="2"/>
  <c r="F8" i="2" s="1"/>
  <c r="E6" i="2"/>
  <c r="E8" i="2" s="1"/>
  <c r="H5" i="2"/>
  <c r="G4" i="2"/>
  <c r="H14" i="2" l="1"/>
  <c r="H15" i="2" s="1"/>
  <c r="H24" i="2"/>
  <c r="F9" i="2"/>
  <c r="F10" i="2" s="1"/>
  <c r="F15" i="2"/>
  <c r="H6" i="2"/>
  <c r="G9" i="2"/>
  <c r="G10" i="2" s="1"/>
  <c r="H23" i="2"/>
  <c r="E9" i="2"/>
  <c r="E10" i="2" s="1"/>
  <c r="F24" i="1"/>
  <c r="G24" i="1" s="1"/>
  <c r="H32" i="1"/>
  <c r="G14" i="1"/>
  <c r="F14" i="1"/>
  <c r="H14" i="1" s="1"/>
  <c r="E14" i="1"/>
  <c r="H21" i="1"/>
  <c r="E23" i="1"/>
  <c r="H5" i="1"/>
  <c r="H8" i="2" l="1"/>
  <c r="H10" i="2"/>
  <c r="F11" i="2"/>
  <c r="E11" i="2"/>
  <c r="E17" i="2" s="1"/>
  <c r="H9" i="2"/>
  <c r="G11" i="2"/>
  <c r="H24" i="1"/>
  <c r="F23" i="1"/>
  <c r="G23" i="1" s="1"/>
  <c r="H11" i="2" l="1"/>
  <c r="H17" i="2" s="1"/>
  <c r="G18" i="2"/>
  <c r="G17" i="2"/>
  <c r="E18" i="2"/>
  <c r="F18" i="2"/>
  <c r="F17" i="2"/>
  <c r="H23" i="1"/>
  <c r="H22" i="2" l="1"/>
  <c r="F25" i="2"/>
  <c r="F27" i="2" s="1"/>
  <c r="E25" i="2"/>
  <c r="E27" i="2" s="1"/>
  <c r="H20" i="2"/>
  <c r="G25" i="2"/>
  <c r="G27" i="2" s="1"/>
  <c r="F4" i="1"/>
  <c r="G4" i="1" s="1"/>
  <c r="E30" i="2" l="1"/>
  <c r="E33" i="2" s="1"/>
  <c r="E28" i="2"/>
  <c r="H27" i="2"/>
  <c r="F28" i="2"/>
  <c r="F30" i="2" s="1"/>
  <c r="F33" i="2" s="1"/>
  <c r="F35" i="2" s="1"/>
  <c r="G28" i="2"/>
  <c r="G30" i="2" s="1"/>
  <c r="G33" i="2" s="1"/>
  <c r="G35" i="2" s="1"/>
  <c r="H25" i="2"/>
  <c r="H37" i="2"/>
  <c r="H15" i="1"/>
  <c r="G15" i="1"/>
  <c r="F15" i="1"/>
  <c r="E15" i="1"/>
  <c r="H7" i="1"/>
  <c r="G6" i="1"/>
  <c r="F6" i="1"/>
  <c r="E6" i="1"/>
  <c r="H28" i="2" l="1"/>
  <c r="H30" i="2"/>
  <c r="H33" i="2" s="1"/>
  <c r="G10" i="1"/>
  <c r="G11" i="1" s="1"/>
  <c r="G22" i="1" s="1"/>
  <c r="E9" i="1"/>
  <c r="E10" i="1" s="1"/>
  <c r="G9" i="1"/>
  <c r="H6" i="1"/>
  <c r="F9" i="1"/>
  <c r="G8" i="1"/>
  <c r="D33" i="1"/>
  <c r="D35" i="1" s="1"/>
  <c r="E8" i="1"/>
  <c r="F8" i="1"/>
  <c r="H36" i="2" l="1"/>
  <c r="E35" i="2"/>
  <c r="F10" i="1"/>
  <c r="H10" i="1" s="1"/>
  <c r="H8" i="1"/>
  <c r="E11" i="1"/>
  <c r="E22" i="1" s="1"/>
  <c r="G20" i="1"/>
  <c r="G18" i="1"/>
  <c r="G17" i="1"/>
  <c r="H9" i="1"/>
  <c r="H35" i="2" l="1"/>
  <c r="F11" i="1"/>
  <c r="H11" i="1"/>
  <c r="E17" i="1"/>
  <c r="E18" i="1"/>
  <c r="E20" i="1"/>
  <c r="G25" i="1"/>
  <c r="G27" i="1" s="1"/>
  <c r="F22" i="1" l="1"/>
  <c r="H22" i="1" s="1"/>
  <c r="F18" i="1"/>
  <c r="F20" i="1"/>
  <c r="F25" i="1" s="1"/>
  <c r="F27" i="1" s="1"/>
  <c r="F28" i="1" s="1"/>
  <c r="F30" i="1" s="1"/>
  <c r="F17" i="1"/>
  <c r="H20" i="1"/>
  <c r="H25" i="1" s="1"/>
  <c r="G28" i="1"/>
  <c r="G30" i="1" s="1"/>
  <c r="E25" i="1"/>
  <c r="E27" i="1" s="1"/>
  <c r="H17" i="1"/>
  <c r="F33" i="1" l="1"/>
  <c r="F35" i="1" s="1"/>
  <c r="G33" i="1"/>
  <c r="G35" i="1" s="1"/>
  <c r="E28" i="1"/>
  <c r="E30" i="1" s="1"/>
  <c r="H30" i="1" s="1"/>
  <c r="H27" i="1"/>
  <c r="H37" i="1"/>
  <c r="E33" i="1" l="1"/>
  <c r="H36" i="1" s="1"/>
  <c r="H28" i="1"/>
  <c r="H33" i="1" s="1"/>
  <c r="E35" i="1" l="1"/>
  <c r="H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Norberto Rial</author>
  </authors>
  <commentList>
    <comment ref="E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Valor de facturación, incluyendo IVA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Unidades vendidas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de descuentos sobre precio de ventas a otorgar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Costo Unitario del producto o servicio</t>
        </r>
      </text>
    </comment>
    <comment ref="C2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de costos de comercialización sobre ventas</t>
        </r>
      </text>
    </comment>
    <comment ref="E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Importe de gastos de administración</t>
        </r>
      </text>
    </comment>
    <comment ref="C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% de gastos de logistica sobre ventas</t>
        </r>
      </text>
    </comment>
    <comment ref="E2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Inversión en Comunicación</t>
        </r>
      </text>
    </comment>
    <comment ref="D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Inversion Inicial</t>
        </r>
      </text>
    </comment>
    <comment ref="C3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Tasa de descuento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Norberto Rial</author>
  </authors>
  <commentList>
    <comment ref="E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Valor de facturación, incluyendo IVA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Unidades vendidas</t>
        </r>
      </text>
    </comment>
    <comment ref="C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% de descuentos sobre precio de ventas a otorgar</t>
        </r>
      </text>
    </comment>
    <comment ref="C1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Costo Unitario del producto o servicio</t>
        </r>
      </text>
    </comment>
    <comment ref="C2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% de costos de comercialización sobre ventas</t>
        </r>
      </text>
    </comment>
    <comment ref="E2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gastos de administración</t>
        </r>
      </text>
    </comment>
    <comment ref="C2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% de gastos de logistica sobre ventas</t>
        </r>
      </text>
    </comment>
    <comment ref="E2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Inversión en Comunicación</t>
        </r>
      </text>
    </comment>
    <comment ref="D3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Inversion Inicial</t>
        </r>
      </text>
    </comment>
    <comment ref="C3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Tasa de descuento</t>
        </r>
      </text>
    </comment>
  </commentList>
</comments>
</file>

<file path=xl/sharedStrings.xml><?xml version="1.0" encoding="utf-8"?>
<sst xmlns="http://schemas.openxmlformats.org/spreadsheetml/2006/main" count="76" uniqueCount="42">
  <si>
    <t>Ventas</t>
  </si>
  <si>
    <t>Total</t>
  </si>
  <si>
    <t>Ventas Brutas</t>
  </si>
  <si>
    <t>Ventas Netas</t>
  </si>
  <si>
    <t>Unidades Vendidas</t>
  </si>
  <si>
    <t>Precio Promedio Neto</t>
  </si>
  <si>
    <t>Descuentos Comerciales</t>
  </si>
  <si>
    <t>[42]</t>
  </si>
  <si>
    <t>Costos</t>
  </si>
  <si>
    <t>Total Costos</t>
  </si>
  <si>
    <t>Gastos</t>
  </si>
  <si>
    <t>Logística</t>
  </si>
  <si>
    <t xml:space="preserve">Marketing </t>
  </si>
  <si>
    <t>Utilidad Neta</t>
  </si>
  <si>
    <t>VAN</t>
  </si>
  <si>
    <t>TIR</t>
  </si>
  <si>
    <t>ROMI</t>
  </si>
  <si>
    <t>*Riesgo país promedio 2019 + Tasa del Tesoro USA</t>
  </si>
  <si>
    <t>Producto / Servicio</t>
  </si>
  <si>
    <t>Margen Bruto</t>
  </si>
  <si>
    <t>Comercialización</t>
  </si>
  <si>
    <t>Administración</t>
  </si>
  <si>
    <t>Total Gastos Operativos</t>
  </si>
  <si>
    <t>IIBB</t>
  </si>
  <si>
    <t>Utilidad Operativa (EBIT)</t>
  </si>
  <si>
    <t>Impuesto a las Ganancias</t>
  </si>
  <si>
    <t>Total Ventas Netas</t>
  </si>
  <si>
    <t>Análisis Económico Financiero</t>
  </si>
  <si>
    <t>Depreciación</t>
  </si>
  <si>
    <t>FREE CASH FLOW</t>
  </si>
  <si>
    <t>CAPEX</t>
  </si>
  <si>
    <t>Unidades Vendidas (KG)</t>
  </si>
  <si>
    <t xml:space="preserve">mezcladora </t>
  </si>
  <si>
    <t>licuadora</t>
  </si>
  <si>
    <t>freezer</t>
  </si>
  <si>
    <t>homogeneizador</t>
  </si>
  <si>
    <t>pasteurizador</t>
  </si>
  <si>
    <t>maquina de empaque</t>
  </si>
  <si>
    <t>CONCEPTO</t>
  </si>
  <si>
    <t>TOTAL PESOS</t>
  </si>
  <si>
    <t>TOTAL USD</t>
  </si>
  <si>
    <t>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</si>
</sst>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[$USD]\ #,##0"/>
    <numFmt numFmtId="167" formatCode="_(* #,##0_);_(* \(#,##0\);_(* &quot;-&quot;_);_(@_)"/>
    <numFmt numFmtId="168" formatCode="_(* #,##0_);_(* \(#,##0\);_(* &quot;-&quot;??_);_(@_)"/>
    <numFmt numFmtId="169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9"/>
      <name val="Calibri Light"/>
      <family val="2"/>
      <scheme val="major"/>
    </font>
    <font>
      <b/>
      <sz val="10"/>
      <color indexed="9"/>
      <name val="Arial"/>
      <family val="2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66" fontId="4" fillId="0" borderId="1" xfId="2" applyNumberFormat="1" applyFont="1" applyFill="1" applyBorder="1" applyAlignment="1" applyProtection="1">
      <alignment vertical="center"/>
      <protection locked="0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166" fontId="4" fillId="0" borderId="1" xfId="2" applyNumberFormat="1" applyFont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166" fontId="8" fillId="3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9" fontId="10" fillId="0" borderId="0" xfId="0" applyNumberFormat="1" applyFont="1" applyAlignment="1">
      <alignment horizontal="right" vertical="center"/>
    </xf>
    <xf numFmtId="9" fontId="11" fillId="0" borderId="0" xfId="0" applyNumberFormat="1" applyFont="1"/>
    <xf numFmtId="10" fontId="4" fillId="0" borderId="1" xfId="2" applyNumberFormat="1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0" fontId="3" fillId="0" borderId="0" xfId="0" applyFont="1"/>
    <xf numFmtId="9" fontId="4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/>
    <xf numFmtId="166" fontId="13" fillId="6" borderId="0" xfId="0" applyNumberFormat="1" applyFont="1" applyFill="1"/>
    <xf numFmtId="9" fontId="13" fillId="6" borderId="0" xfId="0" applyNumberFormat="1" applyFont="1" applyFill="1"/>
    <xf numFmtId="9" fontId="13" fillId="6" borderId="0" xfId="3" applyFont="1" applyFill="1" applyProtection="1"/>
    <xf numFmtId="166" fontId="4" fillId="7" borderId="1" xfId="2" applyNumberFormat="1" applyFont="1" applyFill="1" applyBorder="1" applyAlignment="1" applyProtection="1">
      <alignment vertical="center"/>
      <protection locked="0"/>
    </xf>
    <xf numFmtId="167" fontId="4" fillId="7" borderId="1" xfId="2" applyNumberFormat="1" applyFont="1" applyFill="1" applyBorder="1" applyAlignment="1" applyProtection="1">
      <alignment vertical="center"/>
      <protection locked="0"/>
    </xf>
    <xf numFmtId="9" fontId="4" fillId="7" borderId="0" xfId="0" applyNumberFormat="1" applyFont="1" applyFill="1" applyAlignment="1" applyProtection="1">
      <alignment vertical="center"/>
      <protection locked="0"/>
    </xf>
    <xf numFmtId="169" fontId="4" fillId="0" borderId="0" xfId="1" applyNumberFormat="1" applyFont="1" applyFill="1" applyBorder="1" applyAlignment="1" applyProtection="1">
      <alignment vertical="center"/>
      <protection locked="0"/>
    </xf>
    <xf numFmtId="166" fontId="3" fillId="0" borderId="0" xfId="0" applyNumberFormat="1" applyFont="1" applyAlignment="1">
      <alignment vertical="center"/>
    </xf>
    <xf numFmtId="9" fontId="3" fillId="7" borderId="0" xfId="3" applyFont="1" applyFill="1" applyProtection="1"/>
    <xf numFmtId="0" fontId="15" fillId="8" borderId="4" xfId="0" applyFont="1" applyFill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10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9" fontId="3" fillId="0" borderId="0" xfId="3" applyFont="1" applyAlignment="1" applyProtection="1">
      <alignment vertical="center"/>
    </xf>
    <xf numFmtId="9" fontId="3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8" fontId="13" fillId="5" borderId="3" xfId="1" applyNumberFormat="1" applyFont="1" applyFill="1" applyBorder="1" applyAlignment="1">
      <alignment horizontal="left" vertical="center" wrapText="1"/>
    </xf>
    <xf numFmtId="168" fontId="13" fillId="5" borderId="0" xfId="1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9"/>
  <sheetViews>
    <sheetView tabSelected="1" workbookViewId="0">
      <selection activeCell="J2" sqref="J2"/>
    </sheetView>
  </sheetViews>
  <sheetFormatPr baseColWidth="10" defaultColWidth="10.28515625" defaultRowHeight="12.75" x14ac:dyDescent="0.2"/>
  <cols>
    <col min="1" max="1" width="6.140625" style="22" customWidth="1"/>
    <col min="2" max="2" width="27.85546875" style="22" customWidth="1"/>
    <col min="3" max="3" width="7" style="22" bestFit="1" customWidth="1"/>
    <col min="4" max="6" width="15.5703125" style="22" bestFit="1" customWidth="1"/>
    <col min="7" max="8" width="17.140625" style="22" customWidth="1"/>
    <col min="9" max="9" width="10.85546875" style="22" bestFit="1" customWidth="1"/>
    <col min="10" max="10" width="11.28515625" style="22" bestFit="1" customWidth="1"/>
    <col min="11" max="16384" width="10.28515625" style="22"/>
  </cols>
  <sheetData>
    <row r="2" spans="1:12" s="1" customFormat="1" ht="15.75" x14ac:dyDescent="0.25">
      <c r="A2" s="47" t="s">
        <v>27</v>
      </c>
      <c r="B2" s="47"/>
      <c r="C2" s="47"/>
      <c r="D2" s="47"/>
      <c r="E2" s="47"/>
      <c r="F2" s="47"/>
      <c r="G2" s="47"/>
      <c r="H2" s="47"/>
      <c r="L2" s="44"/>
    </row>
    <row r="3" spans="1:12" s="1" customFormat="1" x14ac:dyDescent="0.25">
      <c r="A3" s="2"/>
      <c r="B3" s="2"/>
      <c r="C3" s="2"/>
      <c r="D3" s="2"/>
      <c r="E3" s="2"/>
      <c r="F3" s="3">
        <v>1.2</v>
      </c>
      <c r="G3" s="3">
        <v>1.1000000000000001</v>
      </c>
      <c r="H3" s="3"/>
    </row>
    <row r="4" spans="1:12" s="1" customFormat="1" x14ac:dyDescent="0.25">
      <c r="A4" s="4" t="s">
        <v>0</v>
      </c>
      <c r="B4" s="4"/>
      <c r="C4" s="4"/>
      <c r="D4" s="5"/>
      <c r="E4" s="6">
        <v>2023</v>
      </c>
      <c r="F4" s="6">
        <v>2024</v>
      </c>
      <c r="G4" s="6">
        <f>+F4+1</f>
        <v>2025</v>
      </c>
      <c r="H4" s="6" t="s">
        <v>1</v>
      </c>
      <c r="J4" s="43"/>
      <c r="L4" s="45"/>
    </row>
    <row r="5" spans="1:12" s="1" customFormat="1" x14ac:dyDescent="0.25">
      <c r="A5" s="2"/>
      <c r="B5" s="7" t="s">
        <v>2</v>
      </c>
      <c r="C5" s="7"/>
      <c r="D5" s="8"/>
      <c r="E5" s="28">
        <f>+E7*47</f>
        <v>188000</v>
      </c>
      <c r="F5" s="28">
        <f>+F7*47</f>
        <v>446500</v>
      </c>
      <c r="G5" s="28">
        <f>+G7*47</f>
        <v>1175000</v>
      </c>
      <c r="H5" s="28">
        <f>SUM(E5:G5)</f>
        <v>1809500</v>
      </c>
    </row>
    <row r="6" spans="1:12" s="1" customFormat="1" x14ac:dyDescent="0.25">
      <c r="A6" s="2"/>
      <c r="B6" s="7" t="s">
        <v>3</v>
      </c>
      <c r="C6" s="7"/>
      <c r="D6" s="8"/>
      <c r="E6" s="8">
        <f>+E5/1.21</f>
        <v>155371.90082644628</v>
      </c>
      <c r="F6" s="8">
        <f>+F5/1.21</f>
        <v>369008.26446280995</v>
      </c>
      <c r="G6" s="8">
        <f>+G5/1.21</f>
        <v>971074.38016528927</v>
      </c>
      <c r="H6" s="8">
        <f>SUM(E6:G6)</f>
        <v>1495454.5454545454</v>
      </c>
    </row>
    <row r="7" spans="1:12" s="1" customFormat="1" x14ac:dyDescent="0.25">
      <c r="A7" s="2"/>
      <c r="B7" s="7" t="s">
        <v>31</v>
      </c>
      <c r="C7" s="7"/>
      <c r="D7" s="9"/>
      <c r="E7" s="29">
        <v>4000</v>
      </c>
      <c r="F7" s="29">
        <v>9500</v>
      </c>
      <c r="G7" s="29">
        <v>25000</v>
      </c>
      <c r="H7" s="29">
        <f>SUM(E7:G7)</f>
        <v>38500</v>
      </c>
      <c r="J7" s="46"/>
    </row>
    <row r="8" spans="1:12" s="1" customFormat="1" x14ac:dyDescent="0.25">
      <c r="A8" s="2"/>
      <c r="B8" s="7" t="s">
        <v>5</v>
      </c>
      <c r="C8" s="7"/>
      <c r="D8" s="10"/>
      <c r="E8" s="8">
        <f>+E6/E7</f>
        <v>38.84297520661157</v>
      </c>
      <c r="F8" s="8">
        <f>+F6/F7</f>
        <v>38.842975206611577</v>
      </c>
      <c r="G8" s="8">
        <f>+G6/G7</f>
        <v>38.84297520661157</v>
      </c>
      <c r="H8" s="8">
        <f>+H6/H7</f>
        <v>38.84297520661157</v>
      </c>
      <c r="J8" s="46"/>
    </row>
    <row r="9" spans="1:12" s="1" customFormat="1" x14ac:dyDescent="0.25">
      <c r="A9" s="2"/>
      <c r="B9" s="7" t="s">
        <v>6</v>
      </c>
      <c r="C9" s="30">
        <v>0.08</v>
      </c>
      <c r="D9" s="10"/>
      <c r="E9" s="8">
        <f>-E6*$C$9</f>
        <v>-12429.752066115703</v>
      </c>
      <c r="F9" s="8">
        <f t="shared" ref="F9:G9" si="0">-F6*$C$9</f>
        <v>-29520.661157024795</v>
      </c>
      <c r="G9" s="8">
        <f t="shared" si="0"/>
        <v>-77685.950413223138</v>
      </c>
      <c r="H9" s="8">
        <f>SUM(E9:G9)</f>
        <v>-119636.36363636363</v>
      </c>
    </row>
    <row r="10" spans="1:12" s="1" customFormat="1" x14ac:dyDescent="0.25">
      <c r="A10" s="2"/>
      <c r="B10" s="7" t="s">
        <v>23</v>
      </c>
      <c r="C10" s="23">
        <v>0.05</v>
      </c>
      <c r="D10" s="10"/>
      <c r="E10" s="8">
        <f>-(E6+E9)*$C$10</f>
        <v>-7147.1074380165292</v>
      </c>
      <c r="F10" s="8">
        <f t="shared" ref="F10:G10" si="1">-(F6+F9)*$C$10</f>
        <v>-16974.380165289258</v>
      </c>
      <c r="G10" s="8">
        <f t="shared" si="1"/>
        <v>-44669.421487603307</v>
      </c>
      <c r="H10" s="8">
        <f>SUM(E10:G10)</f>
        <v>-68790.909090909088</v>
      </c>
    </row>
    <row r="11" spans="1:12" s="1" customFormat="1" x14ac:dyDescent="0.25">
      <c r="A11" s="11" t="s">
        <v>26</v>
      </c>
      <c r="B11" s="11"/>
      <c r="C11" s="11"/>
      <c r="D11" s="12"/>
      <c r="E11" s="12">
        <f>+E6+E9+E10</f>
        <v>135795.04132231403</v>
      </c>
      <c r="F11" s="12">
        <f t="shared" ref="F11:H11" si="2">+F6+F9+F10</f>
        <v>322513.22314049589</v>
      </c>
      <c r="G11" s="12">
        <f t="shared" si="2"/>
        <v>848719.00826446281</v>
      </c>
      <c r="H11" s="12">
        <f t="shared" si="2"/>
        <v>1307027.2727272727</v>
      </c>
    </row>
    <row r="12" spans="1:12" s="1" customFormat="1" x14ac:dyDescent="0.25">
      <c r="A12" s="2"/>
      <c r="B12" s="2"/>
      <c r="C12" s="2"/>
      <c r="D12" s="13" t="s">
        <v>7</v>
      </c>
      <c r="E12" s="13" t="s">
        <v>7</v>
      </c>
      <c r="F12" s="2"/>
      <c r="G12" s="2"/>
      <c r="H12" s="2"/>
    </row>
    <row r="13" spans="1:12" s="1" customFormat="1" x14ac:dyDescent="0.25">
      <c r="A13" s="4" t="s">
        <v>8</v>
      </c>
      <c r="B13" s="4"/>
      <c r="C13" s="4"/>
      <c r="D13" s="14"/>
      <c r="E13" s="14"/>
      <c r="F13" s="14"/>
      <c r="G13" s="14"/>
      <c r="H13" s="14"/>
    </row>
    <row r="14" spans="1:12" s="1" customFormat="1" x14ac:dyDescent="0.25">
      <c r="A14" s="2"/>
      <c r="B14" s="7" t="s">
        <v>18</v>
      </c>
      <c r="C14" s="28"/>
      <c r="D14" s="8"/>
      <c r="E14" s="8">
        <f>+E7*15</f>
        <v>60000</v>
      </c>
      <c r="F14" s="8">
        <f>+F7*15</f>
        <v>142500</v>
      </c>
      <c r="G14" s="8">
        <f>+G7*15</f>
        <v>375000</v>
      </c>
      <c r="H14" s="8">
        <f>SUM(E14:G14)</f>
        <v>577500</v>
      </c>
    </row>
    <row r="15" spans="1:12" s="1" customFormat="1" x14ac:dyDescent="0.25">
      <c r="A15" s="11" t="s">
        <v>9</v>
      </c>
      <c r="B15" s="11"/>
      <c r="C15" s="11"/>
      <c r="D15" s="12"/>
      <c r="E15" s="12">
        <f>+E14</f>
        <v>60000</v>
      </c>
      <c r="F15" s="12">
        <f>+F14</f>
        <v>142500</v>
      </c>
      <c r="G15" s="12">
        <f>+G14</f>
        <v>375000</v>
      </c>
      <c r="H15" s="12">
        <f>+H14</f>
        <v>577500</v>
      </c>
    </row>
    <row r="16" spans="1:12" s="1" customFormat="1" x14ac:dyDescent="0.25">
      <c r="A16" s="2"/>
      <c r="B16" s="2"/>
      <c r="C16" s="2"/>
      <c r="D16" s="13"/>
      <c r="E16" s="13" t="s">
        <v>7</v>
      </c>
      <c r="F16" s="2"/>
      <c r="G16" s="2"/>
      <c r="H16" s="2"/>
    </row>
    <row r="17" spans="1:9" s="1" customFormat="1" x14ac:dyDescent="0.25">
      <c r="A17" s="15" t="s">
        <v>19</v>
      </c>
      <c r="B17" s="15"/>
      <c r="C17" s="15"/>
      <c r="D17" s="16"/>
      <c r="E17" s="16">
        <f>+E11-E15</f>
        <v>75795.041322314035</v>
      </c>
      <c r="F17" s="16">
        <f>+F11-F15</f>
        <v>180013.22314049589</v>
      </c>
      <c r="G17" s="16">
        <f>+G11-G15</f>
        <v>473719.00826446281</v>
      </c>
      <c r="H17" s="16">
        <f>+H11-H15</f>
        <v>729527.27272727271</v>
      </c>
    </row>
    <row r="18" spans="1:9" s="1" customFormat="1" x14ac:dyDescent="0.2">
      <c r="A18" s="2"/>
      <c r="B18" s="2"/>
      <c r="C18" s="2"/>
      <c r="D18" s="17"/>
      <c r="E18" s="18">
        <f>+E11/E15-1</f>
        <v>1.2632506887052339</v>
      </c>
      <c r="F18" s="18">
        <f>+F11/F15-1</f>
        <v>1.2632506887052344</v>
      </c>
      <c r="G18" s="18">
        <f>+G11/G15-1</f>
        <v>1.2632506887052344</v>
      </c>
      <c r="H18" s="18"/>
    </row>
    <row r="19" spans="1:9" s="1" customFormat="1" x14ac:dyDescent="0.25">
      <c r="A19" s="4" t="s">
        <v>10</v>
      </c>
      <c r="B19" s="4"/>
      <c r="C19" s="4"/>
      <c r="D19" s="14"/>
      <c r="E19" s="14"/>
      <c r="F19" s="14"/>
      <c r="G19" s="14"/>
      <c r="H19" s="14"/>
    </row>
    <row r="20" spans="1:9" s="1" customFormat="1" x14ac:dyDescent="0.25">
      <c r="A20" s="2"/>
      <c r="B20" s="7" t="s">
        <v>20</v>
      </c>
      <c r="C20" s="30">
        <v>0.03</v>
      </c>
      <c r="D20" s="10"/>
      <c r="E20" s="8">
        <f>+E5*0.03</f>
        <v>5640</v>
      </c>
      <c r="F20" s="8">
        <f>+F5*0.03</f>
        <v>13395</v>
      </c>
      <c r="G20" s="8">
        <f>+G5*3%</f>
        <v>35250</v>
      </c>
      <c r="H20" s="8">
        <f>SUM(E20:G20)</f>
        <v>54285</v>
      </c>
    </row>
    <row r="21" spans="1:9" s="1" customFormat="1" x14ac:dyDescent="0.25">
      <c r="A21" s="2"/>
      <c r="B21" s="7" t="s">
        <v>21</v>
      </c>
      <c r="C21" s="23"/>
      <c r="D21" s="8"/>
      <c r="E21" s="28">
        <v>2567</v>
      </c>
      <c r="F21" s="28">
        <v>3678</v>
      </c>
      <c r="G21" s="28">
        <v>5009</v>
      </c>
      <c r="H21" s="28">
        <f>SUM(E21:G21)</f>
        <v>11254</v>
      </c>
    </row>
    <row r="22" spans="1:9" s="1" customFormat="1" x14ac:dyDescent="0.25">
      <c r="A22" s="2"/>
      <c r="B22" s="7" t="s">
        <v>11</v>
      </c>
      <c r="C22" s="30">
        <v>0.03</v>
      </c>
      <c r="D22" s="10"/>
      <c r="E22" s="10">
        <v>2678</v>
      </c>
      <c r="F22" s="10">
        <v>4987</v>
      </c>
      <c r="G22" s="10">
        <v>6786</v>
      </c>
      <c r="H22" s="8">
        <f>SUM(E22:G22)</f>
        <v>14451</v>
      </c>
    </row>
    <row r="23" spans="1:9" s="1" customFormat="1" x14ac:dyDescent="0.25">
      <c r="A23" s="2"/>
      <c r="B23" s="7" t="s">
        <v>28</v>
      </c>
      <c r="C23" s="30">
        <v>0.05</v>
      </c>
      <c r="D23" s="10"/>
      <c r="E23" s="10">
        <f>+E5*5%</f>
        <v>9400</v>
      </c>
      <c r="F23" s="10">
        <f>+F5*5%</f>
        <v>22325</v>
      </c>
      <c r="G23" s="10">
        <f>+G5*5%</f>
        <v>58750</v>
      </c>
      <c r="H23" s="10">
        <f>SUM(E23:G23)</f>
        <v>90475</v>
      </c>
    </row>
    <row r="24" spans="1:9" s="1" customFormat="1" x14ac:dyDescent="0.25">
      <c r="A24" s="2"/>
      <c r="B24" s="7" t="s">
        <v>12</v>
      </c>
      <c r="C24" s="7"/>
      <c r="D24" s="19"/>
      <c r="E24" s="28">
        <v>20000</v>
      </c>
      <c r="F24" s="28">
        <v>30000</v>
      </c>
      <c r="G24" s="28">
        <v>90000</v>
      </c>
      <c r="H24" s="28">
        <f>SUM(E24:G24)</f>
        <v>140000</v>
      </c>
    </row>
    <row r="25" spans="1:9" s="1" customFormat="1" x14ac:dyDescent="0.25">
      <c r="A25" s="11" t="s">
        <v>22</v>
      </c>
      <c r="B25" s="11"/>
      <c r="C25" s="11"/>
      <c r="D25" s="12"/>
      <c r="E25" s="12">
        <f>SUM(E20:E24)</f>
        <v>40285</v>
      </c>
      <c r="F25" s="12">
        <f>SUM(F20:F24)</f>
        <v>74385</v>
      </c>
      <c r="G25" s="12">
        <f>SUM(G20:G24)</f>
        <v>195795</v>
      </c>
      <c r="H25" s="12">
        <f>SUM(H20:H24)</f>
        <v>310465</v>
      </c>
    </row>
    <row r="26" spans="1:9" s="1" customFormat="1" x14ac:dyDescent="0.25">
      <c r="A26" s="2"/>
      <c r="B26" s="2"/>
      <c r="C26" s="2"/>
      <c r="D26" s="2"/>
      <c r="E26" s="2"/>
      <c r="F26" s="2"/>
      <c r="G26" s="2"/>
      <c r="H26" s="2"/>
    </row>
    <row r="27" spans="1:9" s="1" customFormat="1" x14ac:dyDescent="0.25">
      <c r="A27" s="15" t="s">
        <v>24</v>
      </c>
      <c r="B27" s="15"/>
      <c r="C27" s="15"/>
      <c r="D27" s="16"/>
      <c r="E27" s="16">
        <f>+E17-E25</f>
        <v>35510.041322314035</v>
      </c>
      <c r="F27" s="16">
        <f>+F17-F25</f>
        <v>105628.22314049589</v>
      </c>
      <c r="G27" s="16">
        <f>+G17-G25</f>
        <v>277924.00826446281</v>
      </c>
      <c r="H27" s="16">
        <f>SUM(D27:G27)</f>
        <v>419062.27272727271</v>
      </c>
    </row>
    <row r="28" spans="1:9" s="1" customFormat="1" x14ac:dyDescent="0.25">
      <c r="A28" s="2"/>
      <c r="B28" s="7" t="s">
        <v>25</v>
      </c>
      <c r="C28" s="23">
        <v>0.3</v>
      </c>
      <c r="D28" s="10"/>
      <c r="E28" s="10">
        <f>+E27*$C$28</f>
        <v>10653.01239669421</v>
      </c>
      <c r="F28" s="10">
        <f t="shared" ref="F28:G28" si="3">+F27*$C$28</f>
        <v>31688.466942148763</v>
      </c>
      <c r="G28" s="10">
        <f t="shared" si="3"/>
        <v>83377.202479338841</v>
      </c>
      <c r="H28" s="10">
        <f>SUM(E28:G28)</f>
        <v>125718.68181818182</v>
      </c>
    </row>
    <row r="29" spans="1:9" s="1" customFormat="1" x14ac:dyDescent="0.25">
      <c r="A29" s="2"/>
      <c r="B29" s="2"/>
      <c r="C29" s="2"/>
      <c r="D29" s="2"/>
      <c r="E29" s="2"/>
      <c r="F29" s="2"/>
      <c r="G29" s="2"/>
      <c r="H29" s="2"/>
      <c r="I29" s="32"/>
    </row>
    <row r="30" spans="1:9" s="1" customFormat="1" x14ac:dyDescent="0.25">
      <c r="A30" s="20" t="s">
        <v>13</v>
      </c>
      <c r="B30" s="20"/>
      <c r="C30" s="20"/>
      <c r="D30" s="21"/>
      <c r="E30" s="21">
        <f>SUM(E27:E28)</f>
        <v>46163.053719008247</v>
      </c>
      <c r="F30" s="21">
        <f t="shared" ref="F30:G30" si="4">SUM(F27:F28)</f>
        <v>137316.69008264464</v>
      </c>
      <c r="G30" s="21">
        <f t="shared" si="4"/>
        <v>361301.21074380167</v>
      </c>
      <c r="H30" s="21">
        <f>SUM(E30:G30)</f>
        <v>544780.95454545459</v>
      </c>
      <c r="I30" s="32"/>
    </row>
    <row r="31" spans="1:9" s="1" customFormat="1" x14ac:dyDescent="0.25">
      <c r="A31" s="2"/>
      <c r="B31" s="2"/>
      <c r="C31" s="2"/>
      <c r="D31" s="2"/>
      <c r="E31" s="2"/>
      <c r="F31" s="2"/>
      <c r="G31" s="2"/>
      <c r="H31" s="2"/>
      <c r="I31" s="32"/>
    </row>
    <row r="32" spans="1:9" s="1" customFormat="1" x14ac:dyDescent="0.25">
      <c r="A32" s="2"/>
      <c r="B32" s="7" t="s">
        <v>30</v>
      </c>
      <c r="C32" s="7"/>
      <c r="D32" s="28">
        <v>26000</v>
      </c>
      <c r="E32" s="10">
        <v>0</v>
      </c>
      <c r="F32" s="10">
        <v>0</v>
      </c>
      <c r="G32" s="10">
        <v>0</v>
      </c>
      <c r="H32" s="10">
        <f>SUM(D32:G32)</f>
        <v>26000</v>
      </c>
    </row>
    <row r="33" spans="1:8" s="1" customFormat="1" x14ac:dyDescent="0.25">
      <c r="A33" s="15" t="s">
        <v>29</v>
      </c>
      <c r="B33" s="15"/>
      <c r="C33" s="15"/>
      <c r="D33" s="16">
        <f>+D30+D23-D32</f>
        <v>-26000</v>
      </c>
      <c r="E33" s="16">
        <f>+E30+E23-E32</f>
        <v>55563.053719008247</v>
      </c>
      <c r="F33" s="16">
        <f t="shared" ref="F33:H33" si="5">+F30+F23-F32</f>
        <v>159641.69008264464</v>
      </c>
      <c r="G33" s="16">
        <f t="shared" si="5"/>
        <v>420051.21074380167</v>
      </c>
      <c r="H33" s="16">
        <f t="shared" si="5"/>
        <v>609255.95454545459</v>
      </c>
    </row>
    <row r="35" spans="1:8" x14ac:dyDescent="0.2">
      <c r="A35" s="48" t="s">
        <v>14</v>
      </c>
      <c r="B35" s="49"/>
      <c r="C35" s="33">
        <v>0.14800000000000002</v>
      </c>
      <c r="D35" s="24">
        <f>+D33</f>
        <v>-26000</v>
      </c>
      <c r="E35" s="24">
        <f>E33/(1+$C$35)</f>
        <v>48399.872577533308</v>
      </c>
      <c r="F35" s="24">
        <f>F33/(1+$C$35)^2</f>
        <v>121133.01885618723</v>
      </c>
      <c r="G35" s="24">
        <f>G33/(1+$C$35)^3</f>
        <v>277636.51009362849</v>
      </c>
      <c r="H35" s="25">
        <f>SUM(D35:G35)</f>
        <v>421169.40152734902</v>
      </c>
    </row>
    <row r="36" spans="1:8" x14ac:dyDescent="0.2">
      <c r="A36" s="48" t="s">
        <v>15</v>
      </c>
      <c r="B36" s="49"/>
      <c r="H36" s="26">
        <f>IRR(D33:G33)</f>
        <v>3.3805953908258122</v>
      </c>
    </row>
    <row r="37" spans="1:8" x14ac:dyDescent="0.2">
      <c r="A37" s="48" t="s">
        <v>16</v>
      </c>
      <c r="B37" s="49"/>
      <c r="H37" s="27">
        <f>(H17-H20-H22-H24)/H24</f>
        <v>3.7199376623376623</v>
      </c>
    </row>
    <row r="39" spans="1:8" ht="15" x14ac:dyDescent="0.25">
      <c r="A39" t="s">
        <v>17</v>
      </c>
    </row>
  </sheetData>
  <mergeCells count="4">
    <mergeCell ref="A2:H2"/>
    <mergeCell ref="A35:B35"/>
    <mergeCell ref="A36:B36"/>
    <mergeCell ref="A37:B37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57E6-9920-4C06-A5D8-2BA94B086DCC}">
  <dimension ref="A1:B9"/>
  <sheetViews>
    <sheetView workbookViewId="0">
      <selection sqref="A1:B9"/>
    </sheetView>
  </sheetViews>
  <sheetFormatPr baseColWidth="10" defaultRowHeight="15" x14ac:dyDescent="0.25"/>
  <cols>
    <col min="1" max="1" width="20.42578125" bestFit="1" customWidth="1"/>
    <col min="2" max="2" width="14.85546875" bestFit="1" customWidth="1"/>
  </cols>
  <sheetData>
    <row r="1" spans="1:2" x14ac:dyDescent="0.25">
      <c r="A1" s="34" t="s">
        <v>38</v>
      </c>
      <c r="B1" s="34" t="s">
        <v>41</v>
      </c>
    </row>
    <row r="2" spans="1:2" x14ac:dyDescent="0.25">
      <c r="A2" s="35" t="s">
        <v>32</v>
      </c>
      <c r="B2" s="36">
        <v>84000</v>
      </c>
    </row>
    <row r="3" spans="1:2" x14ac:dyDescent="0.25">
      <c r="A3" s="35" t="s">
        <v>33</v>
      </c>
      <c r="B3" s="36">
        <v>100000</v>
      </c>
    </row>
    <row r="4" spans="1:2" x14ac:dyDescent="0.25">
      <c r="A4" s="35" t="s">
        <v>34</v>
      </c>
      <c r="B4" s="36">
        <v>450000</v>
      </c>
    </row>
    <row r="5" spans="1:2" x14ac:dyDescent="0.25">
      <c r="A5" s="35" t="s">
        <v>35</v>
      </c>
      <c r="B5" s="36">
        <v>600000</v>
      </c>
    </row>
    <row r="6" spans="1:2" x14ac:dyDescent="0.25">
      <c r="A6" s="35" t="s">
        <v>36</v>
      </c>
      <c r="B6" s="36">
        <v>6000000</v>
      </c>
    </row>
    <row r="7" spans="1:2" ht="15.75" thickBot="1" x14ac:dyDescent="0.3">
      <c r="A7" s="37" t="s">
        <v>37</v>
      </c>
      <c r="B7" s="38">
        <v>4000000</v>
      </c>
    </row>
    <row r="8" spans="1:2" x14ac:dyDescent="0.25">
      <c r="A8" s="39" t="s">
        <v>39</v>
      </c>
      <c r="B8" s="40">
        <f>SUM(B2:B7)</f>
        <v>11234000</v>
      </c>
    </row>
    <row r="9" spans="1:2" ht="15.75" thickBot="1" x14ac:dyDescent="0.3">
      <c r="A9" s="41" t="s">
        <v>40</v>
      </c>
      <c r="B9" s="42">
        <v>26000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9"/>
  <sheetViews>
    <sheetView topLeftCell="A12" workbookViewId="0">
      <selection activeCell="D32" sqref="D32"/>
    </sheetView>
  </sheetViews>
  <sheetFormatPr baseColWidth="10" defaultColWidth="10.28515625" defaultRowHeight="12.75" x14ac:dyDescent="0.2"/>
  <cols>
    <col min="1" max="1" width="6.140625" style="22" customWidth="1"/>
    <col min="2" max="2" width="27.85546875" style="22" customWidth="1"/>
    <col min="3" max="3" width="7" style="22" bestFit="1" customWidth="1"/>
    <col min="4" max="6" width="15.5703125" style="22" bestFit="1" customWidth="1"/>
    <col min="7" max="8" width="17.140625" style="22" customWidth="1"/>
    <col min="9" max="9" width="10.85546875" style="22" bestFit="1" customWidth="1"/>
    <col min="10" max="16384" width="10.28515625" style="22"/>
  </cols>
  <sheetData>
    <row r="2" spans="1:8" s="1" customFormat="1" ht="15.75" x14ac:dyDescent="0.25">
      <c r="A2" s="47" t="s">
        <v>27</v>
      </c>
      <c r="B2" s="47"/>
      <c r="C2" s="47"/>
      <c r="D2" s="47"/>
      <c r="E2" s="47"/>
      <c r="F2" s="47"/>
      <c r="G2" s="47"/>
      <c r="H2" s="47"/>
    </row>
    <row r="3" spans="1:8" s="1" customFormat="1" x14ac:dyDescent="0.25">
      <c r="A3" s="2"/>
      <c r="B3" s="2"/>
      <c r="C3" s="2"/>
      <c r="D3" s="2"/>
      <c r="E3" s="2"/>
      <c r="F3" s="3">
        <v>1.2</v>
      </c>
      <c r="G3" s="3">
        <v>1.1000000000000001</v>
      </c>
      <c r="H3" s="3"/>
    </row>
    <row r="4" spans="1:8" s="1" customFormat="1" x14ac:dyDescent="0.25">
      <c r="A4" s="4" t="s">
        <v>0</v>
      </c>
      <c r="B4" s="4"/>
      <c r="C4" s="4"/>
      <c r="D4" s="5"/>
      <c r="E4" s="6">
        <v>2020</v>
      </c>
      <c r="F4" s="6">
        <f>+E4+1</f>
        <v>2021</v>
      </c>
      <c r="G4" s="6">
        <f>+F4+1</f>
        <v>2022</v>
      </c>
      <c r="H4" s="6" t="s">
        <v>1</v>
      </c>
    </row>
    <row r="5" spans="1:8" s="1" customFormat="1" x14ac:dyDescent="0.25">
      <c r="A5" s="2"/>
      <c r="B5" s="7" t="s">
        <v>2</v>
      </c>
      <c r="C5" s="7"/>
      <c r="D5" s="8"/>
      <c r="E5" s="28">
        <v>20000</v>
      </c>
      <c r="F5" s="28">
        <v>20000</v>
      </c>
      <c r="G5" s="28">
        <v>20000</v>
      </c>
      <c r="H5" s="28">
        <f>SUM(E5:G5)</f>
        <v>60000</v>
      </c>
    </row>
    <row r="6" spans="1:8" s="1" customFormat="1" x14ac:dyDescent="0.25">
      <c r="A6" s="2"/>
      <c r="B6" s="7" t="s">
        <v>3</v>
      </c>
      <c r="C6" s="7"/>
      <c r="D6" s="8"/>
      <c r="E6" s="8">
        <f>+E5/1.21</f>
        <v>16528.92561983471</v>
      </c>
      <c r="F6" s="8">
        <f>+F5/1.21</f>
        <v>16528.92561983471</v>
      </c>
      <c r="G6" s="8">
        <f>+G5/1.21</f>
        <v>16528.92561983471</v>
      </c>
      <c r="H6" s="8">
        <f>SUM(E6:G6)</f>
        <v>49586.776859504127</v>
      </c>
    </row>
    <row r="7" spans="1:8" s="1" customFormat="1" x14ac:dyDescent="0.25">
      <c r="A7" s="2"/>
      <c r="B7" s="7" t="s">
        <v>4</v>
      </c>
      <c r="C7" s="7"/>
      <c r="D7" s="9"/>
      <c r="E7" s="29">
        <v>100</v>
      </c>
      <c r="F7" s="29">
        <v>100</v>
      </c>
      <c r="G7" s="29">
        <v>100</v>
      </c>
      <c r="H7" s="29">
        <f>SUM(E7:G7)</f>
        <v>300</v>
      </c>
    </row>
    <row r="8" spans="1:8" s="1" customFormat="1" x14ac:dyDescent="0.25">
      <c r="A8" s="2"/>
      <c r="B8" s="7" t="s">
        <v>5</v>
      </c>
      <c r="C8" s="7"/>
      <c r="D8" s="10"/>
      <c r="E8" s="8">
        <f>+E6/E7</f>
        <v>165.28925619834709</v>
      </c>
      <c r="F8" s="8">
        <f>+F6/F7</f>
        <v>165.28925619834709</v>
      </c>
      <c r="G8" s="8">
        <f>+G6/G7</f>
        <v>165.28925619834709</v>
      </c>
      <c r="H8" s="8">
        <f>+H6/H7</f>
        <v>165.28925619834709</v>
      </c>
    </row>
    <row r="9" spans="1:8" s="1" customFormat="1" x14ac:dyDescent="0.25">
      <c r="A9" s="2"/>
      <c r="B9" s="7" t="s">
        <v>6</v>
      </c>
      <c r="C9" s="30">
        <v>0.08</v>
      </c>
      <c r="D9" s="10"/>
      <c r="E9" s="8">
        <f>-E6*$C$9</f>
        <v>-1322.3140495867769</v>
      </c>
      <c r="F9" s="8">
        <f t="shared" ref="F9:G9" si="0">-F6*$C$9</f>
        <v>-1322.3140495867769</v>
      </c>
      <c r="G9" s="8">
        <f t="shared" si="0"/>
        <v>-1322.3140495867769</v>
      </c>
      <c r="H9" s="8">
        <f>SUM(E9:G9)</f>
        <v>-3966.9421487603308</v>
      </c>
    </row>
    <row r="10" spans="1:8" s="1" customFormat="1" x14ac:dyDescent="0.25">
      <c r="A10" s="2"/>
      <c r="B10" s="7" t="s">
        <v>23</v>
      </c>
      <c r="C10" s="23">
        <v>0.05</v>
      </c>
      <c r="D10" s="10"/>
      <c r="E10" s="8">
        <f>-(E6+E9)*$C$10</f>
        <v>-760.33057851239664</v>
      </c>
      <c r="F10" s="8">
        <f t="shared" ref="F10:G10" si="1">-(F6+F9)*$C$10</f>
        <v>-760.33057851239664</v>
      </c>
      <c r="G10" s="8">
        <f t="shared" si="1"/>
        <v>-760.33057851239664</v>
      </c>
      <c r="H10" s="8">
        <f>SUM(E10:G10)</f>
        <v>-2280.9917355371899</v>
      </c>
    </row>
    <row r="11" spans="1:8" s="1" customFormat="1" x14ac:dyDescent="0.25">
      <c r="A11" s="11" t="s">
        <v>26</v>
      </c>
      <c r="B11" s="11"/>
      <c r="C11" s="11"/>
      <c r="D11" s="12"/>
      <c r="E11" s="12">
        <f>+E6+E9+E10</f>
        <v>14446.280991735537</v>
      </c>
      <c r="F11" s="12">
        <f t="shared" ref="F11:H11" si="2">+F6+F9+F10</f>
        <v>14446.280991735537</v>
      </c>
      <c r="G11" s="12">
        <f t="shared" si="2"/>
        <v>14446.280991735537</v>
      </c>
      <c r="H11" s="12">
        <f t="shared" si="2"/>
        <v>43338.842975206608</v>
      </c>
    </row>
    <row r="12" spans="1:8" s="1" customFormat="1" x14ac:dyDescent="0.25">
      <c r="A12" s="2"/>
      <c r="B12" s="2"/>
      <c r="C12" s="2"/>
      <c r="D12" s="13" t="s">
        <v>7</v>
      </c>
      <c r="E12" s="13" t="s">
        <v>7</v>
      </c>
      <c r="F12" s="2"/>
      <c r="G12" s="2"/>
      <c r="H12" s="2"/>
    </row>
    <row r="13" spans="1:8" s="1" customFormat="1" x14ac:dyDescent="0.25">
      <c r="A13" s="4" t="s">
        <v>8</v>
      </c>
      <c r="B13" s="4"/>
      <c r="C13" s="4"/>
      <c r="D13" s="14"/>
      <c r="E13" s="14"/>
      <c r="F13" s="14"/>
      <c r="G13" s="14"/>
      <c r="H13" s="14"/>
    </row>
    <row r="14" spans="1:8" s="1" customFormat="1" x14ac:dyDescent="0.25">
      <c r="A14" s="2"/>
      <c r="B14" s="7" t="s">
        <v>18</v>
      </c>
      <c r="C14" s="28">
        <v>50</v>
      </c>
      <c r="D14" s="8"/>
      <c r="E14" s="8">
        <f>+E7*$C$14</f>
        <v>5000</v>
      </c>
      <c r="F14" s="8">
        <f t="shared" ref="F14:G14" si="3">+F7*$C$14</f>
        <v>5000</v>
      </c>
      <c r="G14" s="8">
        <f t="shared" si="3"/>
        <v>5000</v>
      </c>
      <c r="H14" s="8">
        <f>SUM(E14:G14)</f>
        <v>15000</v>
      </c>
    </row>
    <row r="15" spans="1:8" s="1" customFormat="1" x14ac:dyDescent="0.25">
      <c r="A15" s="11" t="s">
        <v>9</v>
      </c>
      <c r="B15" s="11"/>
      <c r="C15" s="11"/>
      <c r="D15" s="12"/>
      <c r="E15" s="12">
        <f>+E14</f>
        <v>5000</v>
      </c>
      <c r="F15" s="12">
        <f>+F14</f>
        <v>5000</v>
      </c>
      <c r="G15" s="12">
        <f>+G14</f>
        <v>5000</v>
      </c>
      <c r="H15" s="12">
        <f>+H14</f>
        <v>15000</v>
      </c>
    </row>
    <row r="16" spans="1:8" s="1" customFormat="1" x14ac:dyDescent="0.25">
      <c r="A16" s="2"/>
      <c r="B16" s="2"/>
      <c r="C16" s="2"/>
      <c r="D16" s="13"/>
      <c r="E16" s="13" t="s">
        <v>7</v>
      </c>
      <c r="F16" s="2"/>
      <c r="G16" s="2"/>
      <c r="H16" s="2"/>
    </row>
    <row r="17" spans="1:9" s="1" customFormat="1" x14ac:dyDescent="0.25">
      <c r="A17" s="15" t="s">
        <v>19</v>
      </c>
      <c r="B17" s="15"/>
      <c r="C17" s="15"/>
      <c r="D17" s="16"/>
      <c r="E17" s="16">
        <f>+E11-E15</f>
        <v>9446.2809917355371</v>
      </c>
      <c r="F17" s="16">
        <f>+F11-F15</f>
        <v>9446.2809917355371</v>
      </c>
      <c r="G17" s="16">
        <f>+G11-G15</f>
        <v>9446.2809917355371</v>
      </c>
      <c r="H17" s="16">
        <f>+H11-H15</f>
        <v>28338.842975206608</v>
      </c>
    </row>
    <row r="18" spans="1:9" s="1" customFormat="1" x14ac:dyDescent="0.2">
      <c r="A18" s="2"/>
      <c r="B18" s="2"/>
      <c r="C18" s="2"/>
      <c r="D18" s="17"/>
      <c r="E18" s="18">
        <f>+E11/E15-1</f>
        <v>1.8892561983471072</v>
      </c>
      <c r="F18" s="18">
        <f>+F11/F15-1</f>
        <v>1.8892561983471072</v>
      </c>
      <c r="G18" s="18">
        <f>+G11/G15-1</f>
        <v>1.8892561983471072</v>
      </c>
      <c r="H18" s="18"/>
    </row>
    <row r="19" spans="1:9" s="1" customFormat="1" x14ac:dyDescent="0.25">
      <c r="A19" s="4" t="s">
        <v>10</v>
      </c>
      <c r="B19" s="4"/>
      <c r="C19" s="4"/>
      <c r="D19" s="14"/>
      <c r="E19" s="14"/>
      <c r="F19" s="14"/>
      <c r="G19" s="14"/>
      <c r="H19" s="14"/>
    </row>
    <row r="20" spans="1:9" s="1" customFormat="1" x14ac:dyDescent="0.25">
      <c r="A20" s="2"/>
      <c r="B20" s="7" t="s">
        <v>20</v>
      </c>
      <c r="C20" s="30">
        <v>0.03</v>
      </c>
      <c r="D20" s="10"/>
      <c r="E20" s="8">
        <f>+E11*$C$20</f>
        <v>433.38842975206609</v>
      </c>
      <c r="F20" s="8">
        <f t="shared" ref="F20:G20" si="4">+F11*$C$20</f>
        <v>433.38842975206609</v>
      </c>
      <c r="G20" s="8">
        <f t="shared" si="4"/>
        <v>433.38842975206609</v>
      </c>
      <c r="H20" s="8">
        <f>SUM(E20:G20)</f>
        <v>1300.1652892561983</v>
      </c>
    </row>
    <row r="21" spans="1:9" s="1" customFormat="1" x14ac:dyDescent="0.25">
      <c r="A21" s="2"/>
      <c r="B21" s="7" t="s">
        <v>21</v>
      </c>
      <c r="C21" s="23"/>
      <c r="D21" s="8"/>
      <c r="E21" s="28">
        <v>500</v>
      </c>
      <c r="F21" s="28">
        <v>500</v>
      </c>
      <c r="G21" s="28">
        <v>500</v>
      </c>
      <c r="H21" s="28">
        <f>SUM(E21:G21)</f>
        <v>1500</v>
      </c>
    </row>
    <row r="22" spans="1:9" s="1" customFormat="1" x14ac:dyDescent="0.25">
      <c r="A22" s="2"/>
      <c r="B22" s="7" t="s">
        <v>11</v>
      </c>
      <c r="C22" s="30">
        <v>0.03</v>
      </c>
      <c r="D22" s="10"/>
      <c r="E22" s="10">
        <f>+E11*$C$22</f>
        <v>433.38842975206609</v>
      </c>
      <c r="F22" s="10">
        <f t="shared" ref="F22:G22" si="5">+F11*$C$22</f>
        <v>433.38842975206609</v>
      </c>
      <c r="G22" s="10">
        <f t="shared" si="5"/>
        <v>433.38842975206609</v>
      </c>
      <c r="H22" s="8">
        <f>SUM(E22:G22)</f>
        <v>1300.1652892561983</v>
      </c>
    </row>
    <row r="23" spans="1:9" s="1" customFormat="1" x14ac:dyDescent="0.25">
      <c r="A23" s="2"/>
      <c r="B23" s="7" t="s">
        <v>28</v>
      </c>
      <c r="C23" s="31">
        <v>3</v>
      </c>
      <c r="D23" s="10"/>
      <c r="E23" s="10">
        <f>+D32/C23/12</f>
        <v>277.77777777777777</v>
      </c>
      <c r="F23" s="10">
        <f>+E23</f>
        <v>277.77777777777777</v>
      </c>
      <c r="G23" s="10">
        <f t="shared" ref="G23" si="6">+F23</f>
        <v>277.77777777777777</v>
      </c>
      <c r="H23" s="10">
        <f>SUM(E23:G23)</f>
        <v>833.33333333333326</v>
      </c>
    </row>
    <row r="24" spans="1:9" s="1" customFormat="1" x14ac:dyDescent="0.25">
      <c r="A24" s="2"/>
      <c r="B24" s="7" t="s">
        <v>12</v>
      </c>
      <c r="C24" s="7"/>
      <c r="D24" s="19"/>
      <c r="E24" s="28">
        <v>4500</v>
      </c>
      <c r="F24" s="28">
        <f>+E24</f>
        <v>4500</v>
      </c>
      <c r="G24" s="28">
        <f>+F24</f>
        <v>4500</v>
      </c>
      <c r="H24" s="28">
        <f>SUM(E24:G24)</f>
        <v>13500</v>
      </c>
    </row>
    <row r="25" spans="1:9" s="1" customFormat="1" x14ac:dyDescent="0.25">
      <c r="A25" s="11" t="s">
        <v>22</v>
      </c>
      <c r="B25" s="11"/>
      <c r="C25" s="11"/>
      <c r="D25" s="12"/>
      <c r="E25" s="12">
        <f>SUM(E20:E24)</f>
        <v>6144.5546372819099</v>
      </c>
      <c r="F25" s="12">
        <f>SUM(F20:F24)</f>
        <v>6144.5546372819099</v>
      </c>
      <c r="G25" s="12">
        <f>SUM(G20:G24)</f>
        <v>6144.5546372819099</v>
      </c>
      <c r="H25" s="12">
        <f>SUM(H20:H24)</f>
        <v>18433.663911845731</v>
      </c>
    </row>
    <row r="26" spans="1:9" s="1" customFormat="1" x14ac:dyDescent="0.25">
      <c r="A26" s="2"/>
      <c r="B26" s="2"/>
      <c r="C26" s="2"/>
      <c r="D26" s="2"/>
      <c r="E26" s="2"/>
      <c r="F26" s="2"/>
      <c r="G26" s="2"/>
      <c r="H26" s="2"/>
    </row>
    <row r="27" spans="1:9" s="1" customFormat="1" x14ac:dyDescent="0.25">
      <c r="A27" s="15" t="s">
        <v>24</v>
      </c>
      <c r="B27" s="15"/>
      <c r="C27" s="15"/>
      <c r="D27" s="16"/>
      <c r="E27" s="16">
        <f>+E17-E25</f>
        <v>3301.7263544536272</v>
      </c>
      <c r="F27" s="16">
        <f>+F17-F25</f>
        <v>3301.7263544536272</v>
      </c>
      <c r="G27" s="16">
        <f>+G17-G25</f>
        <v>3301.7263544536272</v>
      </c>
      <c r="H27" s="16">
        <f>SUM(D27:G27)</f>
        <v>9905.1790633608816</v>
      </c>
    </row>
    <row r="28" spans="1:9" s="1" customFormat="1" x14ac:dyDescent="0.25">
      <c r="A28" s="2"/>
      <c r="B28" s="7" t="s">
        <v>25</v>
      </c>
      <c r="C28" s="23">
        <v>0.3</v>
      </c>
      <c r="D28" s="10"/>
      <c r="E28" s="10">
        <f>+E27*$C$28</f>
        <v>990.51790633608812</v>
      </c>
      <c r="F28" s="10">
        <f t="shared" ref="F28:G28" si="7">+F27*$C$28</f>
        <v>990.51790633608812</v>
      </c>
      <c r="G28" s="10">
        <f t="shared" si="7"/>
        <v>990.51790633608812</v>
      </c>
      <c r="H28" s="10">
        <f>SUM(E28:G28)</f>
        <v>2971.5537190082641</v>
      </c>
    </row>
    <row r="29" spans="1:9" s="1" customFormat="1" x14ac:dyDescent="0.25">
      <c r="A29" s="2"/>
      <c r="B29" s="2"/>
      <c r="C29" s="2"/>
      <c r="D29" s="2"/>
      <c r="E29" s="2"/>
      <c r="F29" s="2"/>
      <c r="G29" s="2"/>
      <c r="H29" s="2"/>
      <c r="I29" s="32"/>
    </row>
    <row r="30" spans="1:9" s="1" customFormat="1" x14ac:dyDescent="0.25">
      <c r="A30" s="20" t="s">
        <v>13</v>
      </c>
      <c r="B30" s="20"/>
      <c r="C30" s="20"/>
      <c r="D30" s="21"/>
      <c r="E30" s="21">
        <f>SUM(E27:E28)</f>
        <v>4292.2442607897156</v>
      </c>
      <c r="F30" s="21">
        <f t="shared" ref="F30:G30" si="8">SUM(F27:F28)</f>
        <v>4292.2442607897156</v>
      </c>
      <c r="G30" s="21">
        <f t="shared" si="8"/>
        <v>4292.2442607897156</v>
      </c>
      <c r="H30" s="21">
        <f>SUM(E30:G30)</f>
        <v>12876.732782369147</v>
      </c>
      <c r="I30" s="32"/>
    </row>
    <row r="31" spans="1:9" s="1" customFormat="1" x14ac:dyDescent="0.25">
      <c r="A31" s="2"/>
      <c r="B31" s="2"/>
      <c r="C31" s="2"/>
      <c r="D31" s="2"/>
      <c r="E31" s="2"/>
      <c r="F31" s="2"/>
      <c r="G31" s="2"/>
      <c r="H31" s="2"/>
      <c r="I31" s="32"/>
    </row>
    <row r="32" spans="1:9" s="1" customFormat="1" x14ac:dyDescent="0.25">
      <c r="A32" s="2"/>
      <c r="B32" s="7" t="s">
        <v>30</v>
      </c>
      <c r="C32" s="7"/>
      <c r="D32" s="28">
        <v>10000</v>
      </c>
      <c r="E32" s="10">
        <v>0</v>
      </c>
      <c r="F32" s="10">
        <v>0</v>
      </c>
      <c r="G32" s="10">
        <v>0</v>
      </c>
      <c r="H32" s="10">
        <f>SUM(D32:G32)</f>
        <v>10000</v>
      </c>
    </row>
    <row r="33" spans="1:8" s="1" customFormat="1" x14ac:dyDescent="0.25">
      <c r="A33" s="15" t="s">
        <v>29</v>
      </c>
      <c r="B33" s="15"/>
      <c r="C33" s="15"/>
      <c r="D33" s="16">
        <f>+D30+D23-D32</f>
        <v>-10000</v>
      </c>
      <c r="E33" s="16">
        <f t="shared" ref="E33:H33" si="9">+E30+E23-E32</f>
        <v>4570.0220385674929</v>
      </c>
      <c r="F33" s="16">
        <f t="shared" si="9"/>
        <v>4570.0220385674929</v>
      </c>
      <c r="G33" s="16">
        <f t="shared" si="9"/>
        <v>4570.0220385674929</v>
      </c>
      <c r="H33" s="16">
        <f t="shared" si="9"/>
        <v>3710.0661157024806</v>
      </c>
    </row>
    <row r="35" spans="1:8" x14ac:dyDescent="0.2">
      <c r="A35" s="48" t="s">
        <v>14</v>
      </c>
      <c r="B35" s="49"/>
      <c r="C35" s="33">
        <v>0.14800000000000002</v>
      </c>
      <c r="D35" s="24">
        <f>+D33</f>
        <v>-10000</v>
      </c>
      <c r="E35" s="24">
        <f>E33/(1+$C$35)</f>
        <v>3980.8554342922407</v>
      </c>
      <c r="F35" s="24">
        <f>F33/(1+$C$35)^2</f>
        <v>3467.6441065263416</v>
      </c>
      <c r="G35" s="24">
        <f>G33/(1+$C$35)^3</f>
        <v>3020.5959116083109</v>
      </c>
      <c r="H35" s="25">
        <f>SUM(D35:G35)</f>
        <v>469.09545242689319</v>
      </c>
    </row>
    <row r="36" spans="1:8" x14ac:dyDescent="0.2">
      <c r="A36" s="48" t="s">
        <v>15</v>
      </c>
      <c r="B36" s="49"/>
      <c r="H36" s="26">
        <f>IRR(D33:G33)</f>
        <v>0.17603060560335182</v>
      </c>
    </row>
    <row r="37" spans="1:8" x14ac:dyDescent="0.2">
      <c r="A37" s="48" t="s">
        <v>16</v>
      </c>
      <c r="B37" s="49"/>
      <c r="H37" s="27">
        <f>(H17-H20-H22-H24)/H24</f>
        <v>0.9065564738292009</v>
      </c>
    </row>
    <row r="39" spans="1:8" ht="15" x14ac:dyDescent="0.25">
      <c r="A39" t="s">
        <v>17</v>
      </c>
    </row>
  </sheetData>
  <mergeCells count="4">
    <mergeCell ref="A2:H2"/>
    <mergeCell ref="A35:B35"/>
    <mergeCell ref="A36:B36"/>
    <mergeCell ref="A37:B37"/>
  </mergeCells>
  <pageMargins left="0.7" right="0.7" top="0.75" bottom="0.75" header="0.3" footer="0.3"/>
  <pageSetup paperSize="9" orientation="portrait" horizontalDpi="0" verticalDpi="0" r:id="rId1"/>
  <ignoredErrors>
    <ignoredError sqref="E6 F6:H6 E9:H9 H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Analisis</vt:lpstr>
      <vt:lpstr>Hoja1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Hemeroteca</cp:lastModifiedBy>
  <dcterms:created xsi:type="dcterms:W3CDTF">2019-10-08T19:29:47Z</dcterms:created>
  <dcterms:modified xsi:type="dcterms:W3CDTF">2023-06-30T18:00:54Z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3f29ab-84e5-40d8-a1a6-1c0d857cf3df_Enabled">
    <vt:lpwstr>true</vt:lpwstr>
  </property>
  <property fmtid="{D5CDD505-2E9C-101B-9397-08002B2CF9AE}" pid="3" name="MSIP_Label_9f3f29ab-84e5-40d8-a1a6-1c0d857cf3df_SetDate">
    <vt:lpwstr>2023-02-20T11:58:25Z</vt:lpwstr>
  </property>
  <property fmtid="{D5CDD505-2E9C-101B-9397-08002B2CF9AE}" pid="4" name="MSIP_Label_9f3f29ab-84e5-40d8-a1a6-1c0d857cf3df_Method">
    <vt:lpwstr>Privileged</vt:lpwstr>
  </property>
  <property fmtid="{D5CDD505-2E9C-101B-9397-08002B2CF9AE}" pid="5" name="MSIP_Label_9f3f29ab-84e5-40d8-a1a6-1c0d857cf3df_Name">
    <vt:lpwstr>Personal Matters</vt:lpwstr>
  </property>
  <property fmtid="{D5CDD505-2E9C-101B-9397-08002B2CF9AE}" pid="6" name="MSIP_Label_9f3f29ab-84e5-40d8-a1a6-1c0d857cf3df_SiteId">
    <vt:lpwstr>a69fff39-07ec-41bb-952a-7c37dd42a482</vt:lpwstr>
  </property>
  <property fmtid="{D5CDD505-2E9C-101B-9397-08002B2CF9AE}" pid="7" name="MSIP_Label_9f3f29ab-84e5-40d8-a1a6-1c0d857cf3df_ActionId">
    <vt:lpwstr>472e91c6-a9ff-48dc-877e-b30d3041802d</vt:lpwstr>
  </property>
  <property fmtid="{D5CDD505-2E9C-101B-9397-08002B2CF9AE}" pid="8" name="MSIP_Label_9f3f29ab-84e5-40d8-a1a6-1c0d857cf3df_ContentBits">
    <vt:lpwstr>0</vt:lpwstr>
  </property>
</Properties>
</file>