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ercioperu-my.sharepoint.com/personal/pugnouho_comercio_com_pe/Documents/Tesis/Tesis Horacio Puga Oct 2020/"/>
    </mc:Choice>
  </mc:AlternateContent>
  <xr:revisionPtr revIDLastSave="426" documentId="8_{2829564A-B9B5-1948-A574-93F3970F6EFF}" xr6:coauthVersionLast="45" xr6:coauthVersionMax="45" xr10:uidLastSave="{9714C784-147C-B64A-9623-2E9E62AA18E0}"/>
  <bookViews>
    <workbookView xWindow="0" yWindow="460" windowWidth="33600" windowHeight="19440" xr2:uid="{5778BA6B-6437-0D4C-83A5-C1093C1BC559}"/>
  </bookViews>
  <sheets>
    <sheet name="Inversión y Gastos" sheetId="1" r:id="rId1"/>
    <sheet name="Estado de Resultados" sheetId="4" r:id="rId2"/>
    <sheet name="Cash Flow" sheetId="6" r:id="rId3"/>
    <sheet name="Cash Flow v2" sheetId="9" state="hidden" r:id="rId4"/>
    <sheet name="Equipo Tecnología" sheetId="2" r:id="rId5"/>
    <sheet name="Gastos Marketing" sheetId="7" r:id="rId6"/>
    <sheet name="Cronograma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9" i="1" l="1"/>
  <c r="P80" i="1"/>
  <c r="P81" i="1"/>
  <c r="P82" i="1"/>
  <c r="P83" i="1"/>
  <c r="P84" i="1"/>
  <c r="P85" i="1"/>
  <c r="P86" i="1"/>
  <c r="P78" i="1"/>
  <c r="E5" i="7"/>
  <c r="F5" i="7" s="1"/>
  <c r="G5" i="7" s="1"/>
  <c r="D5" i="7"/>
  <c r="C5" i="7"/>
  <c r="R60" i="1" l="1"/>
  <c r="F50" i="1"/>
  <c r="C10" i="2"/>
  <c r="F41" i="9" l="1"/>
  <c r="F43" i="9" s="1"/>
  <c r="A19" i="9"/>
  <c r="G18" i="9"/>
  <c r="F18" i="9"/>
  <c r="E18" i="9"/>
  <c r="D18" i="9"/>
  <c r="C18" i="9"/>
  <c r="A18" i="9"/>
  <c r="A16" i="9"/>
  <c r="A15" i="9"/>
  <c r="A14" i="9"/>
  <c r="A13" i="9"/>
  <c r="A10" i="9"/>
  <c r="A7" i="9"/>
  <c r="A5" i="9"/>
  <c r="A4" i="9"/>
  <c r="A17" i="6"/>
  <c r="BP46" i="1"/>
  <c r="R50" i="1"/>
  <c r="D39" i="1"/>
  <c r="R67" i="1"/>
  <c r="O67" i="1"/>
  <c r="N67" i="1"/>
  <c r="M67" i="1"/>
  <c r="L67" i="1"/>
  <c r="K67" i="1"/>
  <c r="J67" i="1"/>
  <c r="I67" i="1"/>
  <c r="H67" i="1"/>
  <c r="G67" i="1"/>
  <c r="F67" i="1"/>
  <c r="E67" i="1"/>
  <c r="E68" i="1" s="1"/>
  <c r="D67" i="1"/>
  <c r="D68" i="1" s="1"/>
  <c r="D73" i="1" s="1"/>
  <c r="S48" i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AE48" i="1" s="1"/>
  <c r="AC67" i="1" l="1"/>
  <c r="Z67" i="1"/>
  <c r="S67" i="1"/>
  <c r="AA67" i="1"/>
  <c r="T67" i="1"/>
  <c r="AB67" i="1"/>
  <c r="U67" i="1"/>
  <c r="V67" i="1"/>
  <c r="W67" i="1"/>
  <c r="X67" i="1"/>
  <c r="Y67" i="1"/>
  <c r="P67" i="1"/>
  <c r="AF48" i="1" l="1"/>
  <c r="AE67" i="1"/>
  <c r="AD67" i="1"/>
  <c r="P16" i="1"/>
  <c r="P13" i="1"/>
  <c r="P11" i="1"/>
  <c r="AG48" i="1" l="1"/>
  <c r="AG50" i="1" s="1"/>
  <c r="AF67" i="1"/>
  <c r="BP19" i="1"/>
  <c r="BP21" i="1" s="1"/>
  <c r="BO19" i="1"/>
  <c r="BO21" i="1" s="1"/>
  <c r="BN19" i="1"/>
  <c r="BN21" i="1" s="1"/>
  <c r="BM19" i="1"/>
  <c r="BM21" i="1" s="1"/>
  <c r="BL19" i="1"/>
  <c r="BL21" i="1" s="1"/>
  <c r="BK19" i="1"/>
  <c r="BK21" i="1" s="1"/>
  <c r="BJ19" i="1"/>
  <c r="BJ21" i="1" s="1"/>
  <c r="BI19" i="1"/>
  <c r="BI21" i="1" s="1"/>
  <c r="BH19" i="1"/>
  <c r="BH21" i="1" s="1"/>
  <c r="BG19" i="1"/>
  <c r="BG21" i="1" s="1"/>
  <c r="BF19" i="1"/>
  <c r="BF21" i="1" s="1"/>
  <c r="BC19" i="1"/>
  <c r="BC21" i="1" s="1"/>
  <c r="BB19" i="1"/>
  <c r="BB21" i="1" s="1"/>
  <c r="BA19" i="1"/>
  <c r="BA21" i="1" s="1"/>
  <c r="AZ19" i="1"/>
  <c r="AZ21" i="1" s="1"/>
  <c r="AY19" i="1"/>
  <c r="AY21" i="1" s="1"/>
  <c r="AX19" i="1"/>
  <c r="AX21" i="1" s="1"/>
  <c r="AW19" i="1"/>
  <c r="AW21" i="1" s="1"/>
  <c r="AV19" i="1"/>
  <c r="AV21" i="1" s="1"/>
  <c r="AU19" i="1"/>
  <c r="AU21" i="1" s="1"/>
  <c r="AT19" i="1"/>
  <c r="AT21" i="1" s="1"/>
  <c r="AS19" i="1"/>
  <c r="AS21" i="1" s="1"/>
  <c r="AE50" i="1"/>
  <c r="AF50" i="1"/>
  <c r="AP19" i="1"/>
  <c r="AP21" i="1" s="1"/>
  <c r="AO19" i="1"/>
  <c r="AO21" i="1" s="1"/>
  <c r="AN19" i="1"/>
  <c r="AN21" i="1" s="1"/>
  <c r="AM19" i="1"/>
  <c r="AM21" i="1" s="1"/>
  <c r="AL19" i="1"/>
  <c r="AL21" i="1" s="1"/>
  <c r="AK19" i="1"/>
  <c r="AK21" i="1" s="1"/>
  <c r="AJ19" i="1"/>
  <c r="AJ21" i="1" s="1"/>
  <c r="AI19" i="1"/>
  <c r="AI21" i="1" s="1"/>
  <c r="AH19" i="1"/>
  <c r="AH21" i="1" s="1"/>
  <c r="AG19" i="1"/>
  <c r="AG21" i="1" s="1"/>
  <c r="AF19" i="1"/>
  <c r="AF21" i="1" s="1"/>
  <c r="AD25" i="1"/>
  <c r="R25" i="1" s="1"/>
  <c r="AD7" i="1"/>
  <c r="AD48" i="1"/>
  <c r="D7" i="6" s="1"/>
  <c r="D52" i="1"/>
  <c r="E50" i="1"/>
  <c r="AE51" i="1" l="1"/>
  <c r="AF64" i="1" s="1"/>
  <c r="AH48" i="1"/>
  <c r="AG67" i="1"/>
  <c r="W25" i="1"/>
  <c r="V25" i="1"/>
  <c r="AF52" i="1"/>
  <c r="AH65" i="1" s="1"/>
  <c r="AG52" i="1"/>
  <c r="AI65" i="1" s="1"/>
  <c r="U25" i="1"/>
  <c r="T25" i="1"/>
  <c r="S25" i="1"/>
  <c r="AD8" i="1"/>
  <c r="AD9" i="1" s="1"/>
  <c r="AD11" i="1" s="1"/>
  <c r="AG53" i="1"/>
  <c r="AJ58" i="1" s="1"/>
  <c r="AE53" i="1"/>
  <c r="AH66" i="1" s="1"/>
  <c r="AF53" i="1"/>
  <c r="AI66" i="1" s="1"/>
  <c r="AE52" i="1"/>
  <c r="AG51" i="1"/>
  <c r="AF51" i="1"/>
  <c r="AF56" i="1"/>
  <c r="AI57" i="1" l="1"/>
  <c r="AI48" i="1"/>
  <c r="AH67" i="1"/>
  <c r="AH50" i="1"/>
  <c r="AH57" i="1"/>
  <c r="AD12" i="1"/>
  <c r="AD13" i="1" s="1"/>
  <c r="AJ66" i="1"/>
  <c r="AI58" i="1"/>
  <c r="AG56" i="1"/>
  <c r="AG64" i="1"/>
  <c r="AG57" i="1"/>
  <c r="AG65" i="1"/>
  <c r="AH56" i="1"/>
  <c r="AH64" i="1"/>
  <c r="AH58" i="1"/>
  <c r="AH52" i="1" l="1"/>
  <c r="AH53" i="1"/>
  <c r="AH51" i="1"/>
  <c r="AJ48" i="1"/>
  <c r="AI67" i="1"/>
  <c r="AI50" i="1"/>
  <c r="AH68" i="1"/>
  <c r="AH36" i="1" s="1"/>
  <c r="AH59" i="1"/>
  <c r="AI56" i="1" l="1"/>
  <c r="AI59" i="1" s="1"/>
  <c r="AI64" i="1"/>
  <c r="AI68" i="1" s="1"/>
  <c r="AI36" i="1" s="1"/>
  <c r="AK66" i="1"/>
  <c r="AK58" i="1"/>
  <c r="AK48" i="1"/>
  <c r="AJ67" i="1"/>
  <c r="AJ50" i="1"/>
  <c r="AJ57" i="1"/>
  <c r="AJ65" i="1"/>
  <c r="AI53" i="1"/>
  <c r="AI51" i="1"/>
  <c r="AI52" i="1"/>
  <c r="AJ56" i="1" l="1"/>
  <c r="AJ59" i="1" s="1"/>
  <c r="AJ64" i="1"/>
  <c r="AJ68" i="1" s="1"/>
  <c r="AJ36" i="1" s="1"/>
  <c r="AJ53" i="1"/>
  <c r="AJ51" i="1"/>
  <c r="AJ52" i="1"/>
  <c r="AK65" i="1"/>
  <c r="AK57" i="1"/>
  <c r="AL48" i="1"/>
  <c r="AK67" i="1"/>
  <c r="AK50" i="1"/>
  <c r="AL66" i="1"/>
  <c r="AL58" i="1"/>
  <c r="R53" i="1"/>
  <c r="AC50" i="1"/>
  <c r="AC53" i="1" s="1"/>
  <c r="AB50" i="1"/>
  <c r="AB53" i="1" s="1"/>
  <c r="AA50" i="1"/>
  <c r="AA51" i="1" s="1"/>
  <c r="AB56" i="1" s="1"/>
  <c r="Z50" i="1"/>
  <c r="Z51" i="1" s="1"/>
  <c r="AA56" i="1" s="1"/>
  <c r="Y50" i="1"/>
  <c r="Y51" i="1" s="1"/>
  <c r="Z56" i="1" s="1"/>
  <c r="X50" i="1"/>
  <c r="X52" i="1" s="1"/>
  <c r="Z57" i="1" s="1"/>
  <c r="W50" i="1"/>
  <c r="W51" i="1" s="1"/>
  <c r="X56" i="1" s="1"/>
  <c r="V50" i="1"/>
  <c r="V52" i="1" s="1"/>
  <c r="X57" i="1" s="1"/>
  <c r="U50" i="1"/>
  <c r="T50" i="1"/>
  <c r="T53" i="1" s="1"/>
  <c r="W58" i="1" s="1"/>
  <c r="S50" i="1"/>
  <c r="AD50" i="1" s="1"/>
  <c r="E45" i="1"/>
  <c r="F45" i="1" s="1"/>
  <c r="S19" i="1"/>
  <c r="S21" i="1" s="1"/>
  <c r="T19" i="1"/>
  <c r="T21" i="1" s="1"/>
  <c r="U19" i="1"/>
  <c r="U21" i="1" s="1"/>
  <c r="V19" i="1"/>
  <c r="V21" i="1" s="1"/>
  <c r="W19" i="1"/>
  <c r="W21" i="1" s="1"/>
  <c r="X19" i="1"/>
  <c r="X21" i="1" s="1"/>
  <c r="Y19" i="1"/>
  <c r="Y21" i="1" s="1"/>
  <c r="Z19" i="1"/>
  <c r="Z21" i="1" s="1"/>
  <c r="AA19" i="1"/>
  <c r="AA21" i="1" s="1"/>
  <c r="AB19" i="1"/>
  <c r="AB21" i="1" s="1"/>
  <c r="AC19" i="1"/>
  <c r="AC21" i="1" s="1"/>
  <c r="E36" i="1"/>
  <c r="G50" i="1"/>
  <c r="H50" i="1"/>
  <c r="E53" i="1"/>
  <c r="H58" i="1" s="1"/>
  <c r="E59" i="1"/>
  <c r="E44" i="1" s="1"/>
  <c r="D59" i="1"/>
  <c r="AK56" i="1" l="1"/>
  <c r="AK59" i="1" s="1"/>
  <c r="AK64" i="1"/>
  <c r="AK68" i="1" s="1"/>
  <c r="AK36" i="1" s="1"/>
  <c r="AM66" i="1"/>
  <c r="AM58" i="1"/>
  <c r="AL57" i="1"/>
  <c r="AL65" i="1"/>
  <c r="AK53" i="1"/>
  <c r="AK51" i="1"/>
  <c r="AK52" i="1"/>
  <c r="AM48" i="1"/>
  <c r="AL67" i="1"/>
  <c r="AL50" i="1"/>
  <c r="S51" i="1"/>
  <c r="AF66" i="1"/>
  <c r="AF58" i="1"/>
  <c r="U53" i="1"/>
  <c r="X58" i="1" s="1"/>
  <c r="X59" i="1" s="1"/>
  <c r="U51" i="1"/>
  <c r="V56" i="1" s="1"/>
  <c r="AG66" i="1"/>
  <c r="AG58" i="1"/>
  <c r="AG59" i="1" s="1"/>
  <c r="U58" i="1"/>
  <c r="U66" i="1"/>
  <c r="H52" i="1"/>
  <c r="J57" i="1" s="1"/>
  <c r="X65" i="1"/>
  <c r="W66" i="1"/>
  <c r="X64" i="1"/>
  <c r="AB64" i="1"/>
  <c r="AA64" i="1"/>
  <c r="Z64" i="1"/>
  <c r="Z65" i="1"/>
  <c r="Y52" i="1"/>
  <c r="AA57" i="1" s="1"/>
  <c r="H66" i="1"/>
  <c r="AB51" i="1"/>
  <c r="AC56" i="1" s="1"/>
  <c r="AB52" i="1"/>
  <c r="T51" i="1"/>
  <c r="U64" i="1" s="1"/>
  <c r="Z52" i="1"/>
  <c r="AB57" i="1" s="1"/>
  <c r="V51" i="1"/>
  <c r="W56" i="1" s="1"/>
  <c r="AA52" i="1"/>
  <c r="AC57" i="1" s="1"/>
  <c r="U52" i="1"/>
  <c r="W57" i="1" s="1"/>
  <c r="AC51" i="1"/>
  <c r="S52" i="1"/>
  <c r="V53" i="1"/>
  <c r="Y58" i="1" s="1"/>
  <c r="AC52" i="1"/>
  <c r="T52" i="1"/>
  <c r="V57" i="1" s="1"/>
  <c r="R51" i="1"/>
  <c r="R52" i="1"/>
  <c r="Y53" i="1"/>
  <c r="X53" i="1"/>
  <c r="AA58" i="1" s="1"/>
  <c r="W53" i="1"/>
  <c r="Z58" i="1" s="1"/>
  <c r="X51" i="1"/>
  <c r="Y56" i="1" s="1"/>
  <c r="Z53" i="1"/>
  <c r="AC58" i="1" s="1"/>
  <c r="S53" i="1"/>
  <c r="V58" i="1" s="1"/>
  <c r="AA53" i="1"/>
  <c r="W52" i="1"/>
  <c r="Y57" i="1" s="1"/>
  <c r="G45" i="1"/>
  <c r="H53" i="1"/>
  <c r="H51" i="1"/>
  <c r="E52" i="1"/>
  <c r="E51" i="1"/>
  <c r="F64" i="1" s="1"/>
  <c r="F68" i="1" s="1"/>
  <c r="AL56" i="1" l="1"/>
  <c r="AL59" i="1" s="1"/>
  <c r="AL64" i="1"/>
  <c r="AL68" i="1" s="1"/>
  <c r="AL36" i="1" s="1"/>
  <c r="AN66" i="1"/>
  <c r="AN58" i="1"/>
  <c r="AL53" i="1"/>
  <c r="AL52" i="1"/>
  <c r="AL51" i="1"/>
  <c r="AN48" i="1"/>
  <c r="AM67" i="1"/>
  <c r="AM50" i="1"/>
  <c r="AM65" i="1"/>
  <c r="AM57" i="1"/>
  <c r="AG68" i="1"/>
  <c r="AG36" i="1" s="1"/>
  <c r="J65" i="1"/>
  <c r="E46" i="1"/>
  <c r="AE66" i="1"/>
  <c r="AE58" i="1"/>
  <c r="AE64" i="1"/>
  <c r="AE56" i="1"/>
  <c r="AF65" i="1"/>
  <c r="AF57" i="1"/>
  <c r="AF59" i="1" s="1"/>
  <c r="X66" i="1"/>
  <c r="X68" i="1" s="1"/>
  <c r="U57" i="1"/>
  <c r="U65" i="1"/>
  <c r="U68" i="1" s="1"/>
  <c r="AE65" i="1"/>
  <c r="AE57" i="1"/>
  <c r="T64" i="1"/>
  <c r="T56" i="1"/>
  <c r="T65" i="1"/>
  <c r="T57" i="1"/>
  <c r="AC59" i="1"/>
  <c r="AB58" i="1"/>
  <c r="AB59" i="1" s="1"/>
  <c r="AB66" i="1"/>
  <c r="S64" i="1"/>
  <c r="S56" i="1"/>
  <c r="F36" i="1"/>
  <c r="Y65" i="1"/>
  <c r="Z59" i="1"/>
  <c r="Z66" i="1"/>
  <c r="Z68" i="1" s="1"/>
  <c r="Y66" i="1"/>
  <c r="V66" i="1"/>
  <c r="W59" i="1"/>
  <c r="W64" i="1"/>
  <c r="AC64" i="1"/>
  <c r="AC65" i="1"/>
  <c r="AC66" i="1"/>
  <c r="AB65" i="1"/>
  <c r="AA65" i="1"/>
  <c r="AA68" i="1" s="1"/>
  <c r="V65" i="1"/>
  <c r="U56" i="1"/>
  <c r="V59" i="1"/>
  <c r="V64" i="1"/>
  <c r="W65" i="1"/>
  <c r="AA66" i="1"/>
  <c r="Y64" i="1"/>
  <c r="K58" i="1"/>
  <c r="K66" i="1"/>
  <c r="G65" i="1"/>
  <c r="G57" i="1"/>
  <c r="H45" i="1"/>
  <c r="I56" i="1"/>
  <c r="I64" i="1"/>
  <c r="F56" i="1"/>
  <c r="AN65" i="1" l="1"/>
  <c r="AN57" i="1"/>
  <c r="AM52" i="1"/>
  <c r="AM53" i="1"/>
  <c r="AM51" i="1"/>
  <c r="AM56" i="1"/>
  <c r="AM59" i="1" s="1"/>
  <c r="AM64" i="1"/>
  <c r="AM68" i="1" s="1"/>
  <c r="AM36" i="1" s="1"/>
  <c r="AO58" i="1"/>
  <c r="AO66" i="1"/>
  <c r="AO48" i="1"/>
  <c r="AN67" i="1"/>
  <c r="AN50" i="1"/>
  <c r="V68" i="1"/>
  <c r="V36" i="1" s="1"/>
  <c r="W68" i="1"/>
  <c r="W36" i="1" s="1"/>
  <c r="AE68" i="1"/>
  <c r="AB68" i="1"/>
  <c r="AB36" i="1" s="1"/>
  <c r="Y68" i="1"/>
  <c r="Y36" i="1" s="1"/>
  <c r="AC68" i="1"/>
  <c r="AC36" i="1" s="1"/>
  <c r="AF68" i="1"/>
  <c r="Z36" i="1"/>
  <c r="X36" i="1"/>
  <c r="AE59" i="1"/>
  <c r="U36" i="1"/>
  <c r="Y59" i="1"/>
  <c r="AA36" i="1"/>
  <c r="AA59" i="1"/>
  <c r="I45" i="1"/>
  <c r="AN53" i="1" l="1"/>
  <c r="AN51" i="1"/>
  <c r="AN52" i="1"/>
  <c r="AN64" i="1"/>
  <c r="AN56" i="1"/>
  <c r="AN59" i="1" s="1"/>
  <c r="AP48" i="1"/>
  <c r="AR48" i="1" s="1"/>
  <c r="AO67" i="1"/>
  <c r="AO50" i="1"/>
  <c r="AO65" i="1"/>
  <c r="AO57" i="1"/>
  <c r="AP66" i="1"/>
  <c r="AQ66" i="1" s="1"/>
  <c r="AQ53" i="1" s="1"/>
  <c r="AP58" i="1"/>
  <c r="AQ58" i="1" s="1"/>
  <c r="AF36" i="1"/>
  <c r="AE36" i="1"/>
  <c r="J45" i="1"/>
  <c r="AQ48" i="1" l="1"/>
  <c r="AN68" i="1"/>
  <c r="AO53" i="1"/>
  <c r="AO51" i="1"/>
  <c r="AO52" i="1"/>
  <c r="AP65" i="1"/>
  <c r="AQ65" i="1" s="1"/>
  <c r="AQ52" i="1" s="1"/>
  <c r="AP57" i="1"/>
  <c r="AQ57" i="1" s="1"/>
  <c r="AO56" i="1"/>
  <c r="AO64" i="1"/>
  <c r="AO68" i="1" s="1"/>
  <c r="AO36" i="1" s="1"/>
  <c r="AP67" i="1"/>
  <c r="AQ67" i="1" s="1"/>
  <c r="AP50" i="1"/>
  <c r="AQ50" i="1" s="1"/>
  <c r="AR58" i="1"/>
  <c r="AR66" i="1"/>
  <c r="K45" i="1"/>
  <c r="E7" i="6" l="1"/>
  <c r="AR65" i="1"/>
  <c r="AR57" i="1"/>
  <c r="AP53" i="1"/>
  <c r="AP52" i="1"/>
  <c r="AP51" i="1"/>
  <c r="AP56" i="1"/>
  <c r="AP59" i="1" s="1"/>
  <c r="AP64" i="1"/>
  <c r="AS66" i="1"/>
  <c r="AS58" i="1"/>
  <c r="AS48" i="1"/>
  <c r="AR67" i="1"/>
  <c r="AR50" i="1"/>
  <c r="AN36" i="1"/>
  <c r="AO59" i="1"/>
  <c r="L45" i="1"/>
  <c r="AP68" i="1" l="1"/>
  <c r="AQ64" i="1"/>
  <c r="AQ51" i="1" s="1"/>
  <c r="AR53" i="1"/>
  <c r="AR52" i="1"/>
  <c r="AR51" i="1"/>
  <c r="AQ59" i="1"/>
  <c r="AS65" i="1"/>
  <c r="AS57" i="1"/>
  <c r="AR56" i="1"/>
  <c r="AR64" i="1"/>
  <c r="AT48" i="1"/>
  <c r="AS67" i="1"/>
  <c r="AS50" i="1"/>
  <c r="AT58" i="1"/>
  <c r="AT66" i="1"/>
  <c r="AQ56" i="1"/>
  <c r="M45" i="1"/>
  <c r="AU48" i="1" l="1"/>
  <c r="AT67" i="1"/>
  <c r="AT50" i="1"/>
  <c r="AS53" i="1"/>
  <c r="AS51" i="1"/>
  <c r="AS52" i="1"/>
  <c r="AR68" i="1"/>
  <c r="AT65" i="1"/>
  <c r="AT57" i="1"/>
  <c r="AP36" i="1"/>
  <c r="AQ68" i="1"/>
  <c r="F6" i="4" s="1"/>
  <c r="E10" i="9" s="1"/>
  <c r="E12" i="9" s="1"/>
  <c r="AS56" i="1"/>
  <c r="AS59" i="1" s="1"/>
  <c r="AS64" i="1"/>
  <c r="AS68" i="1" s="1"/>
  <c r="AS36" i="1" s="1"/>
  <c r="AR59" i="1"/>
  <c r="AU58" i="1"/>
  <c r="AU66" i="1"/>
  <c r="N45" i="1"/>
  <c r="AT53" i="1" l="1"/>
  <c r="AT52" i="1"/>
  <c r="AT51" i="1"/>
  <c r="AV66" i="1"/>
  <c r="AV58" i="1"/>
  <c r="AR36" i="1"/>
  <c r="AV48" i="1"/>
  <c r="AU67" i="1"/>
  <c r="AU50" i="1"/>
  <c r="AU57" i="1"/>
  <c r="AU65" i="1"/>
  <c r="AT64" i="1"/>
  <c r="AT56" i="1"/>
  <c r="O45" i="1"/>
  <c r="AW48" i="1" l="1"/>
  <c r="AV67" i="1"/>
  <c r="AV50" i="1"/>
  <c r="AV65" i="1"/>
  <c r="AV57" i="1"/>
  <c r="AU53" i="1"/>
  <c r="AU52" i="1"/>
  <c r="AU51" i="1"/>
  <c r="AU64" i="1"/>
  <c r="AU68" i="1" s="1"/>
  <c r="AU36" i="1" s="1"/>
  <c r="AU56" i="1"/>
  <c r="AU59" i="1" s="1"/>
  <c r="AT59" i="1"/>
  <c r="AT68" i="1"/>
  <c r="AW66" i="1"/>
  <c r="AW58" i="1"/>
  <c r="BQ25" i="1"/>
  <c r="BD25" i="1"/>
  <c r="AQ25" i="1"/>
  <c r="P37" i="1"/>
  <c r="AD37" i="1" s="1"/>
  <c r="P25" i="1"/>
  <c r="P24" i="1"/>
  <c r="AV51" i="1" l="1"/>
  <c r="AV53" i="1"/>
  <c r="AV52" i="1"/>
  <c r="AW65" i="1"/>
  <c r="AW57" i="1"/>
  <c r="AX66" i="1"/>
  <c r="AX58" i="1"/>
  <c r="AV56" i="1"/>
  <c r="AV64" i="1"/>
  <c r="AV68" i="1" s="1"/>
  <c r="AV36" i="1" s="1"/>
  <c r="AX48" i="1"/>
  <c r="AW67" i="1"/>
  <c r="AW50" i="1"/>
  <c r="AT36" i="1"/>
  <c r="BN25" i="1"/>
  <c r="BF25" i="1"/>
  <c r="BB25" i="1"/>
  <c r="AT25" i="1"/>
  <c r="AN25" i="1"/>
  <c r="AF25" i="1"/>
  <c r="BM25" i="1"/>
  <c r="BE25" i="1"/>
  <c r="BA25" i="1"/>
  <c r="AS25" i="1"/>
  <c r="AM25" i="1"/>
  <c r="AE25" i="1"/>
  <c r="BL25" i="1"/>
  <c r="AZ25" i="1"/>
  <c r="AR25" i="1"/>
  <c r="AL25" i="1"/>
  <c r="BG25" i="1"/>
  <c r="AU25" i="1"/>
  <c r="AG25" i="1"/>
  <c r="BK25" i="1"/>
  <c r="AY25" i="1"/>
  <c r="AK25" i="1"/>
  <c r="BJ25" i="1"/>
  <c r="AX25" i="1"/>
  <c r="AJ25" i="1"/>
  <c r="AI25" i="1"/>
  <c r="BO25" i="1"/>
  <c r="BI25" i="1"/>
  <c r="AW25" i="1"/>
  <c r="BC25" i="1"/>
  <c r="AO25" i="1"/>
  <c r="BP25" i="1"/>
  <c r="BH25" i="1"/>
  <c r="AV25" i="1"/>
  <c r="AP25" i="1"/>
  <c r="AH25" i="1"/>
  <c r="AB25" i="1"/>
  <c r="AA25" i="1"/>
  <c r="Y25" i="1"/>
  <c r="X25" i="1"/>
  <c r="Z25" i="1"/>
  <c r="AC25" i="1"/>
  <c r="AC37" i="1"/>
  <c r="U37" i="1"/>
  <c r="AB37" i="1"/>
  <c r="T37" i="1"/>
  <c r="Z37" i="1"/>
  <c r="R37" i="1"/>
  <c r="AA37" i="1"/>
  <c r="S37" i="1"/>
  <c r="Y37" i="1"/>
  <c r="X37" i="1"/>
  <c r="W37" i="1"/>
  <c r="V37" i="1"/>
  <c r="AQ37" i="1"/>
  <c r="AY66" i="1" l="1"/>
  <c r="AY58" i="1"/>
  <c r="AW52" i="1"/>
  <c r="AW51" i="1"/>
  <c r="AW53" i="1"/>
  <c r="AX65" i="1"/>
  <c r="AX57" i="1"/>
  <c r="AW64" i="1"/>
  <c r="AW56" i="1"/>
  <c r="AW59" i="1" s="1"/>
  <c r="AY48" i="1"/>
  <c r="AX67" i="1"/>
  <c r="AX50" i="1"/>
  <c r="AV59" i="1"/>
  <c r="BN37" i="1"/>
  <c r="BF37" i="1"/>
  <c r="BB37" i="1"/>
  <c r="AT37" i="1"/>
  <c r="AO37" i="1"/>
  <c r="AG37" i="1"/>
  <c r="AU37" i="1"/>
  <c r="AH37" i="1"/>
  <c r="BM37" i="1"/>
  <c r="BE37" i="1"/>
  <c r="BA37" i="1"/>
  <c r="AS37" i="1"/>
  <c r="AN37" i="1"/>
  <c r="AE37" i="1"/>
  <c r="BL37" i="1"/>
  <c r="AZ37" i="1"/>
  <c r="AR37" i="1"/>
  <c r="AM37" i="1"/>
  <c r="BC37" i="1"/>
  <c r="BK37" i="1"/>
  <c r="AY37" i="1"/>
  <c r="AL37" i="1"/>
  <c r="BJ37" i="1"/>
  <c r="AX37" i="1"/>
  <c r="AK37" i="1"/>
  <c r="BI37" i="1"/>
  <c r="AW37" i="1"/>
  <c r="AJ37" i="1"/>
  <c r="AF37" i="1"/>
  <c r="BO37" i="1"/>
  <c r="BP37" i="1"/>
  <c r="BH37" i="1"/>
  <c r="AV37" i="1"/>
  <c r="AI37" i="1"/>
  <c r="BG37" i="1"/>
  <c r="AP37" i="1"/>
  <c r="BD37" i="1"/>
  <c r="D90" i="1"/>
  <c r="P90" i="1" s="1"/>
  <c r="D19" i="1"/>
  <c r="AW68" i="1" l="1"/>
  <c r="AZ66" i="1"/>
  <c r="AZ58" i="1"/>
  <c r="AX52" i="1"/>
  <c r="AX51" i="1"/>
  <c r="AX53" i="1"/>
  <c r="AX64" i="1"/>
  <c r="AX68" i="1" s="1"/>
  <c r="AX36" i="1" s="1"/>
  <c r="AX56" i="1"/>
  <c r="AY65" i="1"/>
  <c r="AY57" i="1"/>
  <c r="AZ48" i="1"/>
  <c r="AY67" i="1"/>
  <c r="AY50" i="1"/>
  <c r="BQ37" i="1"/>
  <c r="AD90" i="1"/>
  <c r="C8" i="7"/>
  <c r="P34" i="1" s="1"/>
  <c r="D7" i="7"/>
  <c r="E7" i="7" s="1"/>
  <c r="F7" i="7" s="1"/>
  <c r="G7" i="7" s="1"/>
  <c r="D6" i="7"/>
  <c r="E6" i="7" s="1"/>
  <c r="F6" i="7" s="1"/>
  <c r="G6" i="7" s="1"/>
  <c r="D19" i="6"/>
  <c r="E19" i="6"/>
  <c r="F19" i="6"/>
  <c r="G19" i="6"/>
  <c r="C19" i="6"/>
  <c r="A20" i="6"/>
  <c r="A19" i="6"/>
  <c r="A16" i="6"/>
  <c r="A15" i="6"/>
  <c r="A14" i="6"/>
  <c r="A11" i="6"/>
  <c r="A8" i="6"/>
  <c r="A6" i="6"/>
  <c r="A5" i="6"/>
  <c r="AY64" i="1" l="1"/>
  <c r="AY56" i="1"/>
  <c r="AY59" i="1" s="1"/>
  <c r="AZ65" i="1"/>
  <c r="AZ57" i="1"/>
  <c r="BA48" i="1"/>
  <c r="AZ67" i="1"/>
  <c r="AZ50" i="1"/>
  <c r="BA66" i="1"/>
  <c r="BA58" i="1"/>
  <c r="AY52" i="1"/>
  <c r="AY51" i="1"/>
  <c r="AY53" i="1"/>
  <c r="AX59" i="1"/>
  <c r="AW36" i="1"/>
  <c r="AQ90" i="1"/>
  <c r="P12" i="1"/>
  <c r="E34" i="1"/>
  <c r="E8" i="7"/>
  <c r="AQ34" i="1" s="1"/>
  <c r="D8" i="7"/>
  <c r="AD34" i="1" s="1"/>
  <c r="G8" i="7"/>
  <c r="BQ34" i="1" s="1"/>
  <c r="AZ53" i="1" l="1"/>
  <c r="AZ52" i="1"/>
  <c r="AZ51" i="1"/>
  <c r="BB66" i="1"/>
  <c r="BB58" i="1"/>
  <c r="BB48" i="1"/>
  <c r="BA67" i="1"/>
  <c r="BA50" i="1"/>
  <c r="AZ64" i="1"/>
  <c r="AZ68" i="1" s="1"/>
  <c r="AZ36" i="1" s="1"/>
  <c r="AZ56" i="1"/>
  <c r="BA65" i="1"/>
  <c r="BA57" i="1"/>
  <c r="AY68" i="1"/>
  <c r="BJ34" i="1"/>
  <c r="BB34" i="1"/>
  <c r="AT34" i="1"/>
  <c r="AM34" i="1"/>
  <c r="BI34" i="1"/>
  <c r="BA34" i="1"/>
  <c r="AS34" i="1"/>
  <c r="AL34" i="1"/>
  <c r="BP34" i="1"/>
  <c r="BH34" i="1"/>
  <c r="AZ34" i="1"/>
  <c r="AR34" i="1"/>
  <c r="AK34" i="1"/>
  <c r="AG34" i="1"/>
  <c r="BO34" i="1"/>
  <c r="BG34" i="1"/>
  <c r="AY34" i="1"/>
  <c r="AJ34" i="1"/>
  <c r="AF34" i="1"/>
  <c r="BN34" i="1"/>
  <c r="BF34" i="1"/>
  <c r="AX34" i="1"/>
  <c r="AI34" i="1"/>
  <c r="BM34" i="1"/>
  <c r="BE34" i="1"/>
  <c r="AW34" i="1"/>
  <c r="AP34" i="1"/>
  <c r="AH34" i="1"/>
  <c r="BL34" i="1"/>
  <c r="AV34" i="1"/>
  <c r="AO34" i="1"/>
  <c r="BK34" i="1"/>
  <c r="BC34" i="1"/>
  <c r="AU34" i="1"/>
  <c r="AN34" i="1"/>
  <c r="AE34" i="1"/>
  <c r="Z34" i="1"/>
  <c r="R34" i="1"/>
  <c r="X34" i="1"/>
  <c r="W34" i="1"/>
  <c r="AA34" i="1"/>
  <c r="Y34" i="1"/>
  <c r="AC34" i="1"/>
  <c r="AB34" i="1"/>
  <c r="S34" i="1"/>
  <c r="V34" i="1"/>
  <c r="U34" i="1"/>
  <c r="T34" i="1"/>
  <c r="BD90" i="1"/>
  <c r="F8" i="7"/>
  <c r="BD34" i="1" s="1"/>
  <c r="BA64" i="1" l="1"/>
  <c r="BA68" i="1" s="1"/>
  <c r="BA36" i="1" s="1"/>
  <c r="BA56" i="1"/>
  <c r="BA59" i="1" s="1"/>
  <c r="AY36" i="1"/>
  <c r="AZ59" i="1"/>
  <c r="BB57" i="1"/>
  <c r="BB65" i="1"/>
  <c r="BA53" i="1"/>
  <c r="BA52" i="1"/>
  <c r="BA51" i="1"/>
  <c r="BC48" i="1"/>
  <c r="BE48" i="1" s="1"/>
  <c r="BB67" i="1"/>
  <c r="BB50" i="1"/>
  <c r="BC58" i="1"/>
  <c r="BD58" i="1" s="1"/>
  <c r="BC66" i="1"/>
  <c r="BD66" i="1" s="1"/>
  <c r="BQ90" i="1"/>
  <c r="BB53" i="1" l="1"/>
  <c r="BB52" i="1"/>
  <c r="BB51" i="1"/>
  <c r="BC67" i="1"/>
  <c r="BD67" i="1" s="1"/>
  <c r="BC50" i="1"/>
  <c r="BD50" i="1" s="1"/>
  <c r="BD48" i="1"/>
  <c r="BB56" i="1"/>
  <c r="BB59" i="1" s="1"/>
  <c r="BB64" i="1"/>
  <c r="BB68" i="1" s="1"/>
  <c r="BB36" i="1" s="1"/>
  <c r="BC57" i="1"/>
  <c r="BD57" i="1" s="1"/>
  <c r="BC65" i="1"/>
  <c r="BD65" i="1" s="1"/>
  <c r="BE66" i="1"/>
  <c r="BE58" i="1"/>
  <c r="E31" i="1"/>
  <c r="G31" i="1" s="1"/>
  <c r="H31" i="1" s="1"/>
  <c r="I31" i="1" s="1"/>
  <c r="J31" i="1" s="1"/>
  <c r="K31" i="1" s="1"/>
  <c r="L31" i="1" s="1"/>
  <c r="M31" i="1" s="1"/>
  <c r="N31" i="1" s="1"/>
  <c r="O31" i="1" s="1"/>
  <c r="F35" i="1"/>
  <c r="F7" i="6" l="1"/>
  <c r="BF48" i="1"/>
  <c r="BE67" i="1"/>
  <c r="BE50" i="1"/>
  <c r="BE65" i="1"/>
  <c r="BE57" i="1"/>
  <c r="BC53" i="1"/>
  <c r="BC52" i="1"/>
  <c r="BC51" i="1"/>
  <c r="BC56" i="1"/>
  <c r="BC64" i="1"/>
  <c r="BF66" i="1"/>
  <c r="BF58" i="1"/>
  <c r="G35" i="1"/>
  <c r="H35" i="1" s="1"/>
  <c r="I35" i="1" s="1"/>
  <c r="J35" i="1" s="1"/>
  <c r="K35" i="1" s="1"/>
  <c r="L35" i="1" s="1"/>
  <c r="M35" i="1" s="1"/>
  <c r="N35" i="1" s="1"/>
  <c r="J14" i="1"/>
  <c r="K14" i="1"/>
  <c r="L14" i="1"/>
  <c r="M14" i="1"/>
  <c r="N14" i="1"/>
  <c r="O14" i="1"/>
  <c r="K19" i="1"/>
  <c r="L19" i="1"/>
  <c r="BG58" i="1" l="1"/>
  <c r="BG66" i="1"/>
  <c r="BE64" i="1"/>
  <c r="BE68" i="1" s="1"/>
  <c r="BE36" i="1" s="1"/>
  <c r="BE56" i="1"/>
  <c r="BE59" i="1" s="1"/>
  <c r="BF65" i="1"/>
  <c r="BF57" i="1"/>
  <c r="BC68" i="1"/>
  <c r="BD64" i="1"/>
  <c r="BE52" i="1"/>
  <c r="BE51" i="1"/>
  <c r="BE53" i="1"/>
  <c r="BC59" i="1"/>
  <c r="BD59" i="1" s="1"/>
  <c r="BD56" i="1"/>
  <c r="BG48" i="1"/>
  <c r="BF67" i="1"/>
  <c r="BF50" i="1"/>
  <c r="O35" i="1"/>
  <c r="D69" i="1"/>
  <c r="P45" i="1"/>
  <c r="BF52" i="1" l="1"/>
  <c r="BF53" i="1"/>
  <c r="BF51" i="1"/>
  <c r="BC36" i="1"/>
  <c r="BD68" i="1"/>
  <c r="G6" i="4" s="1"/>
  <c r="F10" i="9" s="1"/>
  <c r="F12" i="9" s="1"/>
  <c r="BG50" i="1"/>
  <c r="BH48" i="1"/>
  <c r="BG67" i="1"/>
  <c r="BH58" i="1"/>
  <c r="BH66" i="1"/>
  <c r="BF56" i="1"/>
  <c r="BF59" i="1" s="1"/>
  <c r="BF64" i="1"/>
  <c r="BF68" i="1" s="1"/>
  <c r="BF36" i="1" s="1"/>
  <c r="BG65" i="1"/>
  <c r="BG57" i="1"/>
  <c r="F59" i="1"/>
  <c r="F44" i="1" s="1"/>
  <c r="AQ45" i="1"/>
  <c r="BD45" i="1" s="1"/>
  <c r="BQ45" i="1" s="1"/>
  <c r="BI58" i="1" l="1"/>
  <c r="BI66" i="1"/>
  <c r="BH67" i="1"/>
  <c r="BI48" i="1"/>
  <c r="BH50" i="1"/>
  <c r="BG53" i="1"/>
  <c r="BG52" i="1"/>
  <c r="BG51" i="1"/>
  <c r="BG64" i="1"/>
  <c r="BG68" i="1" s="1"/>
  <c r="BG36" i="1" s="1"/>
  <c r="BG56" i="1"/>
  <c r="BG59" i="1" s="1"/>
  <c r="BH57" i="1"/>
  <c r="BH65" i="1"/>
  <c r="E69" i="1"/>
  <c r="J19" i="1"/>
  <c r="BH56" i="1" l="1"/>
  <c r="BH59" i="1" s="1"/>
  <c r="BH64" i="1"/>
  <c r="BH68" i="1" s="1"/>
  <c r="BH36" i="1" s="1"/>
  <c r="BI65" i="1"/>
  <c r="BI57" i="1"/>
  <c r="BJ58" i="1"/>
  <c r="BJ66" i="1"/>
  <c r="BH53" i="1"/>
  <c r="BH52" i="1"/>
  <c r="BH51" i="1"/>
  <c r="BI67" i="1"/>
  <c r="BJ48" i="1"/>
  <c r="BI50" i="1"/>
  <c r="P35" i="1"/>
  <c r="P8" i="1"/>
  <c r="F32" i="1"/>
  <c r="D32" i="1"/>
  <c r="BD31" i="1"/>
  <c r="BQ31" i="1"/>
  <c r="AQ31" i="1"/>
  <c r="AD31" i="1"/>
  <c r="G26" i="1"/>
  <c r="H26" i="1" s="1"/>
  <c r="I26" i="1" s="1"/>
  <c r="G27" i="1"/>
  <c r="H27" i="1" s="1"/>
  <c r="I27" i="1" s="1"/>
  <c r="G28" i="1"/>
  <c r="H28" i="1" s="1"/>
  <c r="I28" i="1" s="1"/>
  <c r="G29" i="1"/>
  <c r="H29" i="1" s="1"/>
  <c r="I29" i="1" s="1"/>
  <c r="G30" i="1"/>
  <c r="H30" i="1" s="1"/>
  <c r="I30" i="1" s="1"/>
  <c r="E27" i="1"/>
  <c r="E30" i="1"/>
  <c r="E26" i="1"/>
  <c r="P31" i="1"/>
  <c r="F19" i="1"/>
  <c r="G19" i="1"/>
  <c r="H19" i="1"/>
  <c r="I19" i="1"/>
  <c r="E17" i="1"/>
  <c r="BQ14" i="1"/>
  <c r="E14" i="1"/>
  <c r="F14" i="1"/>
  <c r="G14" i="1"/>
  <c r="H14" i="1"/>
  <c r="I14" i="1"/>
  <c r="AD14" i="1"/>
  <c r="AD16" i="1" s="1"/>
  <c r="AD17" i="1" s="1"/>
  <c r="AQ14" i="1"/>
  <c r="BD14" i="1"/>
  <c r="D14" i="1"/>
  <c r="AQ9" i="1"/>
  <c r="BD9" i="1"/>
  <c r="BQ9" i="1"/>
  <c r="M5" i="2"/>
  <c r="M6" i="2"/>
  <c r="M7" i="2"/>
  <c r="M8" i="2"/>
  <c r="M4" i="2"/>
  <c r="K5" i="2"/>
  <c r="K6" i="2"/>
  <c r="K7" i="2"/>
  <c r="K8" i="2"/>
  <c r="K4" i="2"/>
  <c r="I5" i="2"/>
  <c r="I6" i="2"/>
  <c r="I7" i="2"/>
  <c r="I8" i="2"/>
  <c r="I4" i="2"/>
  <c r="L9" i="2"/>
  <c r="J9" i="2"/>
  <c r="H9" i="2"/>
  <c r="G5" i="2"/>
  <c r="G6" i="2"/>
  <c r="G7" i="2"/>
  <c r="G8" i="2"/>
  <c r="G4" i="2"/>
  <c r="F9" i="2"/>
  <c r="D9" i="2"/>
  <c r="C9" i="2"/>
  <c r="D7" i="1" s="1"/>
  <c r="E5" i="2"/>
  <c r="E6" i="2"/>
  <c r="E7" i="2"/>
  <c r="E8" i="2"/>
  <c r="E4" i="2"/>
  <c r="BI52" i="1" l="1"/>
  <c r="BI51" i="1"/>
  <c r="BI53" i="1"/>
  <c r="BK48" i="1"/>
  <c r="BJ67" i="1"/>
  <c r="BJ50" i="1"/>
  <c r="BJ57" i="1"/>
  <c r="BJ65" i="1"/>
  <c r="BK58" i="1"/>
  <c r="BK66" i="1"/>
  <c r="BI56" i="1"/>
  <c r="BI59" i="1" s="1"/>
  <c r="BI64" i="1"/>
  <c r="BI68" i="1" s="1"/>
  <c r="BI36" i="1" s="1"/>
  <c r="P14" i="1"/>
  <c r="B5" i="9" s="1"/>
  <c r="BN31" i="1"/>
  <c r="BF31" i="1"/>
  <c r="AX31" i="1"/>
  <c r="AJ31" i="1"/>
  <c r="BM31" i="1"/>
  <c r="BE31" i="1"/>
  <c r="AW31" i="1"/>
  <c r="AI31" i="1"/>
  <c r="AL31" i="1"/>
  <c r="AK31" i="1"/>
  <c r="BL31" i="1"/>
  <c r="AV31" i="1"/>
  <c r="AP31" i="1"/>
  <c r="AH31" i="1"/>
  <c r="BK31" i="1"/>
  <c r="BC31" i="1"/>
  <c r="AU31" i="1"/>
  <c r="AO31" i="1"/>
  <c r="AG31" i="1"/>
  <c r="BJ31" i="1"/>
  <c r="BB31" i="1"/>
  <c r="AT31" i="1"/>
  <c r="AN31" i="1"/>
  <c r="AF31" i="1"/>
  <c r="BI31" i="1"/>
  <c r="BA31" i="1"/>
  <c r="AS31" i="1"/>
  <c r="AM31" i="1"/>
  <c r="AE31" i="1"/>
  <c r="BP31" i="1"/>
  <c r="BH31" i="1"/>
  <c r="AZ31" i="1"/>
  <c r="AR31" i="1"/>
  <c r="BO31" i="1"/>
  <c r="BG31" i="1"/>
  <c r="AY31" i="1"/>
  <c r="Z31" i="1"/>
  <c r="W31" i="1"/>
  <c r="R31" i="1"/>
  <c r="Y31" i="1"/>
  <c r="X31" i="1"/>
  <c r="AC31" i="1"/>
  <c r="AB31" i="1"/>
  <c r="T31" i="1"/>
  <c r="AA31" i="1"/>
  <c r="V31" i="1"/>
  <c r="U31" i="1"/>
  <c r="S31" i="1"/>
  <c r="P17" i="1"/>
  <c r="E19" i="1"/>
  <c r="E32" i="1"/>
  <c r="E7" i="1"/>
  <c r="D9" i="1"/>
  <c r="D21" i="1" s="1"/>
  <c r="I9" i="2"/>
  <c r="J30" i="1"/>
  <c r="K30" i="1" s="1"/>
  <c r="L30" i="1" s="1"/>
  <c r="M30" i="1" s="1"/>
  <c r="N30" i="1" s="1"/>
  <c r="O30" i="1" s="1"/>
  <c r="J29" i="1"/>
  <c r="K29" i="1" s="1"/>
  <c r="L29" i="1" s="1"/>
  <c r="M29" i="1" s="1"/>
  <c r="N29" i="1" s="1"/>
  <c r="O29" i="1" s="1"/>
  <c r="J28" i="1"/>
  <c r="K28" i="1" s="1"/>
  <c r="J27" i="1"/>
  <c r="K27" i="1" s="1"/>
  <c r="L27" i="1" s="1"/>
  <c r="M27" i="1" s="1"/>
  <c r="N27" i="1" s="1"/>
  <c r="O27" i="1" s="1"/>
  <c r="J26" i="1"/>
  <c r="K26" i="1" s="1"/>
  <c r="E9" i="2"/>
  <c r="AD35" i="1"/>
  <c r="AD29" i="1"/>
  <c r="BD26" i="1"/>
  <c r="AQ27" i="1"/>
  <c r="BQ26" i="1"/>
  <c r="BD30" i="1"/>
  <c r="AQ29" i="1"/>
  <c r="BQ29" i="1"/>
  <c r="AQ28" i="1"/>
  <c r="BQ28" i="1"/>
  <c r="I32" i="1"/>
  <c r="BD29" i="1"/>
  <c r="H32" i="1"/>
  <c r="AD28" i="1"/>
  <c r="AD27" i="1"/>
  <c r="AQ26" i="1"/>
  <c r="BQ27" i="1"/>
  <c r="G32" i="1"/>
  <c r="AD30" i="1"/>
  <c r="BD28" i="1"/>
  <c r="BD27" i="1"/>
  <c r="AD26" i="1"/>
  <c r="AQ30" i="1"/>
  <c r="BQ30" i="1"/>
  <c r="M9" i="2"/>
  <c r="K9" i="2"/>
  <c r="G9" i="2"/>
  <c r="AD24" i="1" s="1"/>
  <c r="D75" i="1" l="1"/>
  <c r="B6" i="6"/>
  <c r="BL48" i="1"/>
  <c r="BK50" i="1"/>
  <c r="BK67" i="1"/>
  <c r="BL66" i="1"/>
  <c r="BL58" i="1"/>
  <c r="BJ53" i="1"/>
  <c r="BJ52" i="1"/>
  <c r="BJ51" i="1"/>
  <c r="BJ64" i="1"/>
  <c r="BJ68" i="1" s="1"/>
  <c r="BJ36" i="1" s="1"/>
  <c r="BJ56" i="1"/>
  <c r="BJ59" i="1" s="1"/>
  <c r="BK57" i="1"/>
  <c r="BK65" i="1"/>
  <c r="I10" i="2"/>
  <c r="AQ24" i="1"/>
  <c r="BJ28" i="1"/>
  <c r="BB28" i="1"/>
  <c r="AT28" i="1"/>
  <c r="AJ28" i="1"/>
  <c r="BI28" i="1"/>
  <c r="BA28" i="1"/>
  <c r="AS28" i="1"/>
  <c r="AI28" i="1"/>
  <c r="AK28" i="1"/>
  <c r="BP28" i="1"/>
  <c r="BH28" i="1"/>
  <c r="AZ28" i="1"/>
  <c r="AR28" i="1"/>
  <c r="AP28" i="1"/>
  <c r="AH28" i="1"/>
  <c r="BO28" i="1"/>
  <c r="BG28" i="1"/>
  <c r="AY28" i="1"/>
  <c r="AO28" i="1"/>
  <c r="AG28" i="1"/>
  <c r="BN28" i="1"/>
  <c r="BF28" i="1"/>
  <c r="AX28" i="1"/>
  <c r="AN28" i="1"/>
  <c r="AF28" i="1"/>
  <c r="AL28" i="1"/>
  <c r="BM28" i="1"/>
  <c r="BE28" i="1"/>
  <c r="AW28" i="1"/>
  <c r="AM28" i="1"/>
  <c r="BL28" i="1"/>
  <c r="AV28" i="1"/>
  <c r="BK28" i="1"/>
  <c r="BC28" i="1"/>
  <c r="AU28" i="1"/>
  <c r="AE28" i="1"/>
  <c r="BJ26" i="1"/>
  <c r="BB26" i="1"/>
  <c r="AT26" i="1"/>
  <c r="AP26" i="1"/>
  <c r="AH26" i="1"/>
  <c r="BI26" i="1"/>
  <c r="BA26" i="1"/>
  <c r="AS26" i="1"/>
  <c r="AO26" i="1"/>
  <c r="AG26" i="1"/>
  <c r="AE26" i="1"/>
  <c r="BP26" i="1"/>
  <c r="BH26" i="1"/>
  <c r="AZ26" i="1"/>
  <c r="AR26" i="1"/>
  <c r="AN26" i="1"/>
  <c r="AF26" i="1"/>
  <c r="AJ26" i="1"/>
  <c r="BO26" i="1"/>
  <c r="BG26" i="1"/>
  <c r="AY26" i="1"/>
  <c r="AM26" i="1"/>
  <c r="BN26" i="1"/>
  <c r="BF26" i="1"/>
  <c r="AX26" i="1"/>
  <c r="AL26" i="1"/>
  <c r="BM26" i="1"/>
  <c r="BE26" i="1"/>
  <c r="AW26" i="1"/>
  <c r="AK26" i="1"/>
  <c r="AI26" i="1"/>
  <c r="BL26" i="1"/>
  <c r="AV26" i="1"/>
  <c r="BK26" i="1"/>
  <c r="BC26" i="1"/>
  <c r="AU26" i="1"/>
  <c r="BN29" i="1"/>
  <c r="BF29" i="1"/>
  <c r="AX29" i="1"/>
  <c r="AO29" i="1"/>
  <c r="AG29" i="1"/>
  <c r="AI29" i="1"/>
  <c r="BM29" i="1"/>
  <c r="BE29" i="1"/>
  <c r="AW29" i="1"/>
  <c r="AN29" i="1"/>
  <c r="AF29" i="1"/>
  <c r="BL29" i="1"/>
  <c r="AV29" i="1"/>
  <c r="AM29" i="1"/>
  <c r="AP29" i="1"/>
  <c r="BK29" i="1"/>
  <c r="BC29" i="1"/>
  <c r="AU29" i="1"/>
  <c r="AL29" i="1"/>
  <c r="AH29" i="1"/>
  <c r="BJ29" i="1"/>
  <c r="BB29" i="1"/>
  <c r="AT29" i="1"/>
  <c r="AK29" i="1"/>
  <c r="AE29" i="1"/>
  <c r="BI29" i="1"/>
  <c r="BA29" i="1"/>
  <c r="AS29" i="1"/>
  <c r="AJ29" i="1"/>
  <c r="BP29" i="1"/>
  <c r="BH29" i="1"/>
  <c r="AZ29" i="1"/>
  <c r="AR29" i="1"/>
  <c r="BO29" i="1"/>
  <c r="BG29" i="1"/>
  <c r="AY29" i="1"/>
  <c r="BN27" i="1"/>
  <c r="BF27" i="1"/>
  <c r="AX27" i="1"/>
  <c r="AM27" i="1"/>
  <c r="AE27" i="1"/>
  <c r="BM27" i="1"/>
  <c r="BE27" i="1"/>
  <c r="AW27" i="1"/>
  <c r="AL27" i="1"/>
  <c r="BL27" i="1"/>
  <c r="AV27" i="1"/>
  <c r="AK27" i="1"/>
  <c r="BK27" i="1"/>
  <c r="BC27" i="1"/>
  <c r="AU27" i="1"/>
  <c r="AJ27" i="1"/>
  <c r="BJ27" i="1"/>
  <c r="BB27" i="1"/>
  <c r="AT27" i="1"/>
  <c r="AI27" i="1"/>
  <c r="AF27" i="1"/>
  <c r="BI27" i="1"/>
  <c r="BA27" i="1"/>
  <c r="AS27" i="1"/>
  <c r="AP27" i="1"/>
  <c r="AH27" i="1"/>
  <c r="AO27" i="1"/>
  <c r="BP27" i="1"/>
  <c r="BH27" i="1"/>
  <c r="AZ27" i="1"/>
  <c r="AR27" i="1"/>
  <c r="AG27" i="1"/>
  <c r="BO27" i="1"/>
  <c r="BG27" i="1"/>
  <c r="AY27" i="1"/>
  <c r="AN27" i="1"/>
  <c r="AD32" i="1"/>
  <c r="BJ30" i="1"/>
  <c r="BB30" i="1"/>
  <c r="AT30" i="1"/>
  <c r="AN30" i="1"/>
  <c r="AF30" i="1"/>
  <c r="AM30" i="1"/>
  <c r="BI30" i="1"/>
  <c r="BA30" i="1"/>
  <c r="AS30" i="1"/>
  <c r="AE30" i="1"/>
  <c r="BP30" i="1"/>
  <c r="BH30" i="1"/>
  <c r="AZ30" i="1"/>
  <c r="AR30" i="1"/>
  <c r="AL30" i="1"/>
  <c r="AH30" i="1"/>
  <c r="AO30" i="1"/>
  <c r="BO30" i="1"/>
  <c r="BG30" i="1"/>
  <c r="AY30" i="1"/>
  <c r="AK30" i="1"/>
  <c r="AG30" i="1"/>
  <c r="BN30" i="1"/>
  <c r="BF30" i="1"/>
  <c r="AX30" i="1"/>
  <c r="AJ30" i="1"/>
  <c r="BM30" i="1"/>
  <c r="BE30" i="1"/>
  <c r="AW30" i="1"/>
  <c r="AI30" i="1"/>
  <c r="BL30" i="1"/>
  <c r="AV30" i="1"/>
  <c r="AP30" i="1"/>
  <c r="BK30" i="1"/>
  <c r="BC30" i="1"/>
  <c r="AU30" i="1"/>
  <c r="Y26" i="1"/>
  <c r="U26" i="1"/>
  <c r="X26" i="1"/>
  <c r="V26" i="1"/>
  <c r="AC26" i="1"/>
  <c r="W26" i="1"/>
  <c r="R26" i="1"/>
  <c r="AB26" i="1"/>
  <c r="T26" i="1"/>
  <c r="AA26" i="1"/>
  <c r="S26" i="1"/>
  <c r="Z26" i="1"/>
  <c r="X29" i="1"/>
  <c r="V29" i="1"/>
  <c r="AC29" i="1"/>
  <c r="S29" i="1"/>
  <c r="W29" i="1"/>
  <c r="U29" i="1"/>
  <c r="AA29" i="1"/>
  <c r="Z29" i="1"/>
  <c r="Y29" i="1"/>
  <c r="R29" i="1"/>
  <c r="AB29" i="1"/>
  <c r="T29" i="1"/>
  <c r="AA28" i="1"/>
  <c r="S28" i="1"/>
  <c r="R28" i="1"/>
  <c r="X28" i="1"/>
  <c r="AB28" i="1"/>
  <c r="Z28" i="1"/>
  <c r="Y28" i="1"/>
  <c r="U28" i="1"/>
  <c r="V28" i="1"/>
  <c r="T28" i="1"/>
  <c r="W28" i="1"/>
  <c r="AC28" i="1"/>
  <c r="V27" i="1"/>
  <c r="AB27" i="1"/>
  <c r="S27" i="1"/>
  <c r="X27" i="1"/>
  <c r="AC27" i="1"/>
  <c r="U27" i="1"/>
  <c r="R27" i="1"/>
  <c r="T27" i="1"/>
  <c r="AA27" i="1"/>
  <c r="W27" i="1"/>
  <c r="Z27" i="1"/>
  <c r="Y27" i="1"/>
  <c r="AC30" i="1"/>
  <c r="U30" i="1"/>
  <c r="AA30" i="1"/>
  <c r="AB30" i="1"/>
  <c r="T30" i="1"/>
  <c r="S30" i="1"/>
  <c r="Z30" i="1"/>
  <c r="X30" i="1"/>
  <c r="W30" i="1"/>
  <c r="R30" i="1"/>
  <c r="V30" i="1"/>
  <c r="Y30" i="1"/>
  <c r="AQ35" i="1"/>
  <c r="V35" i="1"/>
  <c r="AC35" i="1"/>
  <c r="U35" i="1"/>
  <c r="AB35" i="1"/>
  <c r="T35" i="1"/>
  <c r="AA35" i="1"/>
  <c r="W35" i="1"/>
  <c r="S35" i="1"/>
  <c r="X35" i="1"/>
  <c r="Z35" i="1"/>
  <c r="R35" i="1"/>
  <c r="Y35" i="1"/>
  <c r="F7" i="1"/>
  <c r="F9" i="1" s="1"/>
  <c r="F21" i="1" s="1"/>
  <c r="E9" i="1"/>
  <c r="E21" i="1" s="1"/>
  <c r="P29" i="1"/>
  <c r="L28" i="1"/>
  <c r="M28" i="1" s="1"/>
  <c r="N28" i="1" s="1"/>
  <c r="O28" i="1" s="1"/>
  <c r="BQ24" i="1"/>
  <c r="BQ32" i="1" s="1"/>
  <c r="H10" i="4" s="1"/>
  <c r="M10" i="2"/>
  <c r="BD24" i="1"/>
  <c r="BD32" i="1" s="1"/>
  <c r="G10" i="4" s="1"/>
  <c r="K10" i="2"/>
  <c r="G10" i="2"/>
  <c r="J32" i="1"/>
  <c r="P30" i="1"/>
  <c r="P27" i="1"/>
  <c r="L26" i="1"/>
  <c r="K32" i="1"/>
  <c r="G7" i="1"/>
  <c r="E10" i="2"/>
  <c r="AQ32" i="1"/>
  <c r="F10" i="4" s="1"/>
  <c r="BM58" i="1" l="1"/>
  <c r="BM66" i="1"/>
  <c r="BK56" i="1"/>
  <c r="BK59" i="1" s="1"/>
  <c r="BK64" i="1"/>
  <c r="BK68" i="1" s="1"/>
  <c r="BK36" i="1" s="1"/>
  <c r="BL65" i="1"/>
  <c r="BL57" i="1"/>
  <c r="BK51" i="1"/>
  <c r="BK53" i="1"/>
  <c r="BK52" i="1"/>
  <c r="BL67" i="1"/>
  <c r="BM48" i="1"/>
  <c r="BL50" i="1"/>
  <c r="G16" i="6"/>
  <c r="G15" i="9"/>
  <c r="F16" i="6"/>
  <c r="F15" i="9"/>
  <c r="E16" i="6"/>
  <c r="E15" i="9"/>
  <c r="AM24" i="1"/>
  <c r="AM32" i="1" s="1"/>
  <c r="AE24" i="1"/>
  <c r="BL24" i="1"/>
  <c r="BL32" i="1" s="1"/>
  <c r="BF24" i="1"/>
  <c r="BH24" i="1"/>
  <c r="BH32" i="1" s="1"/>
  <c r="AJ24" i="1"/>
  <c r="AJ32" i="1" s="1"/>
  <c r="BG24" i="1"/>
  <c r="BG32" i="1" s="1"/>
  <c r="BE24" i="1"/>
  <c r="BE32" i="1" s="1"/>
  <c r="AX24" i="1"/>
  <c r="AX32" i="1" s="1"/>
  <c r="AI24" i="1"/>
  <c r="AI32" i="1" s="1"/>
  <c r="AK24" i="1"/>
  <c r="AK32" i="1" s="1"/>
  <c r="AN24" i="1"/>
  <c r="AS24" i="1"/>
  <c r="AS32" i="1" s="1"/>
  <c r="BN24" i="1"/>
  <c r="BN32" i="1" s="1"/>
  <c r="BP24" i="1"/>
  <c r="BP32" i="1" s="1"/>
  <c r="BI24" i="1"/>
  <c r="BI32" i="1" s="1"/>
  <c r="AW24" i="1"/>
  <c r="AW32" i="1" s="1"/>
  <c r="BJ24" i="1"/>
  <c r="BJ32" i="1" s="1"/>
  <c r="AL24" i="1"/>
  <c r="AL32" i="1" s="1"/>
  <c r="AV24" i="1"/>
  <c r="AP24" i="1"/>
  <c r="AP32" i="1" s="1"/>
  <c r="AG24" i="1"/>
  <c r="AG32" i="1" s="1"/>
  <c r="AU24" i="1"/>
  <c r="AU32" i="1" s="1"/>
  <c r="AY24" i="1"/>
  <c r="AY32" i="1" s="1"/>
  <c r="AT24" i="1"/>
  <c r="AT32" i="1" s="1"/>
  <c r="AF24" i="1"/>
  <c r="AF32" i="1" s="1"/>
  <c r="BB24" i="1"/>
  <c r="BO24" i="1"/>
  <c r="BO32" i="1" s="1"/>
  <c r="BK24" i="1"/>
  <c r="BK32" i="1" s="1"/>
  <c r="BA24" i="1"/>
  <c r="BA32" i="1" s="1"/>
  <c r="BC24" i="1"/>
  <c r="BC32" i="1" s="1"/>
  <c r="BM24" i="1"/>
  <c r="BM32" i="1" s="1"/>
  <c r="AH24" i="1"/>
  <c r="AH32" i="1" s="1"/>
  <c r="AO24" i="1"/>
  <c r="AO32" i="1" s="1"/>
  <c r="AR24" i="1"/>
  <c r="AR32" i="1" s="1"/>
  <c r="AZ24" i="1"/>
  <c r="AZ32" i="1" s="1"/>
  <c r="BD35" i="1"/>
  <c r="BJ35" i="1"/>
  <c r="AX35" i="1"/>
  <c r="AJ35" i="1"/>
  <c r="AG35" i="1"/>
  <c r="BK35" i="1"/>
  <c r="BI35" i="1"/>
  <c r="AW35" i="1"/>
  <c r="AI35" i="1"/>
  <c r="AO35" i="1"/>
  <c r="BP35" i="1"/>
  <c r="BH35" i="1"/>
  <c r="AV35" i="1"/>
  <c r="AP35" i="1"/>
  <c r="AH35" i="1"/>
  <c r="BO35" i="1"/>
  <c r="BG35" i="1"/>
  <c r="BC35" i="1"/>
  <c r="AU35" i="1"/>
  <c r="BN35" i="1"/>
  <c r="BF35" i="1"/>
  <c r="BB35" i="1"/>
  <c r="AT35" i="1"/>
  <c r="AN35" i="1"/>
  <c r="AE35" i="1"/>
  <c r="AY35" i="1"/>
  <c r="AK35" i="1"/>
  <c r="BM35" i="1"/>
  <c r="BE35" i="1"/>
  <c r="BA35" i="1"/>
  <c r="AS35" i="1"/>
  <c r="AM35" i="1"/>
  <c r="BL35" i="1"/>
  <c r="AZ35" i="1"/>
  <c r="AR35" i="1"/>
  <c r="AL35" i="1"/>
  <c r="AF35" i="1"/>
  <c r="AE32" i="1"/>
  <c r="BB32" i="1"/>
  <c r="AV32" i="1"/>
  <c r="BF32" i="1"/>
  <c r="AN32" i="1"/>
  <c r="E10" i="4"/>
  <c r="W24" i="1"/>
  <c r="W32" i="1" s="1"/>
  <c r="AC24" i="1"/>
  <c r="AC32" i="1" s="1"/>
  <c r="T24" i="1"/>
  <c r="T32" i="1" s="1"/>
  <c r="X24" i="1"/>
  <c r="X32" i="1" s="1"/>
  <c r="V24" i="1"/>
  <c r="V32" i="1" s="1"/>
  <c r="U24" i="1"/>
  <c r="U32" i="1" s="1"/>
  <c r="AB24" i="1"/>
  <c r="AB32" i="1" s="1"/>
  <c r="Z24" i="1"/>
  <c r="Z32" i="1" s="1"/>
  <c r="Y24" i="1"/>
  <c r="Y32" i="1" s="1"/>
  <c r="AA24" i="1"/>
  <c r="AA32" i="1" s="1"/>
  <c r="S24" i="1"/>
  <c r="S32" i="1" s="1"/>
  <c r="R24" i="1"/>
  <c r="R32" i="1" s="1"/>
  <c r="H7" i="1"/>
  <c r="G9" i="1"/>
  <c r="G21" i="1" s="1"/>
  <c r="P28" i="1"/>
  <c r="L32" i="1"/>
  <c r="M26" i="1"/>
  <c r="BN58" i="1" l="1"/>
  <c r="BN66" i="1"/>
  <c r="BL53" i="1"/>
  <c r="BL51" i="1"/>
  <c r="BL52" i="1"/>
  <c r="BM50" i="1"/>
  <c r="BM67" i="1"/>
  <c r="BN48" i="1"/>
  <c r="BL64" i="1"/>
  <c r="BL68" i="1" s="1"/>
  <c r="BL36" i="1" s="1"/>
  <c r="BL56" i="1"/>
  <c r="BL59" i="1" s="1"/>
  <c r="BM65" i="1"/>
  <c r="BM57" i="1"/>
  <c r="D16" i="6"/>
  <c r="D15" i="9"/>
  <c r="BQ35" i="1"/>
  <c r="I7" i="1"/>
  <c r="J7" i="1" s="1"/>
  <c r="H9" i="1"/>
  <c r="H21" i="1" s="1"/>
  <c r="M32" i="1"/>
  <c r="N26" i="1"/>
  <c r="BN65" i="1" l="1"/>
  <c r="BN57" i="1"/>
  <c r="BO48" i="1"/>
  <c r="BN67" i="1"/>
  <c r="BN50" i="1"/>
  <c r="BM52" i="1"/>
  <c r="BM53" i="1"/>
  <c r="BM51" i="1"/>
  <c r="BM56" i="1"/>
  <c r="BM59" i="1" s="1"/>
  <c r="BM64" i="1"/>
  <c r="BM68" i="1" s="1"/>
  <c r="BM36" i="1" s="1"/>
  <c r="BO66" i="1"/>
  <c r="BO58" i="1"/>
  <c r="I9" i="1"/>
  <c r="I21" i="1" s="1"/>
  <c r="O26" i="1"/>
  <c r="O32" i="1" s="1"/>
  <c r="N32" i="1"/>
  <c r="BP66" i="1" l="1"/>
  <c r="BQ66" i="1" s="1"/>
  <c r="BP58" i="1"/>
  <c r="BQ58" i="1" s="1"/>
  <c r="BN51" i="1"/>
  <c r="BN52" i="1"/>
  <c r="BN56" i="1"/>
  <c r="BN59" i="1" s="1"/>
  <c r="BN64" i="1"/>
  <c r="BN68" i="1" s="1"/>
  <c r="BN36" i="1" s="1"/>
  <c r="BO65" i="1"/>
  <c r="BO57" i="1"/>
  <c r="J9" i="1"/>
  <c r="J21" i="1" s="1"/>
  <c r="K7" i="1"/>
  <c r="P26" i="1"/>
  <c r="BP57" i="1" l="1"/>
  <c r="BQ57" i="1" s="1"/>
  <c r="BP65" i="1"/>
  <c r="BQ65" i="1" s="1"/>
  <c r="BO56" i="1"/>
  <c r="BO59" i="1" s="1"/>
  <c r="BO64" i="1"/>
  <c r="K9" i="1"/>
  <c r="K21" i="1" s="1"/>
  <c r="L7" i="1"/>
  <c r="P32" i="1"/>
  <c r="L9" i="1" l="1"/>
  <c r="L21" i="1" s="1"/>
  <c r="M7" i="1"/>
  <c r="D10" i="4"/>
  <c r="C15" i="9" s="1"/>
  <c r="M9" i="1" l="1"/>
  <c r="N7" i="1"/>
  <c r="C16" i="6"/>
  <c r="N9" i="1" l="1"/>
  <c r="O7" i="1"/>
  <c r="P7" i="1" s="1"/>
  <c r="O9" i="1" l="1"/>
  <c r="P9" i="1" l="1"/>
  <c r="B4" i="9" s="1"/>
  <c r="D14" i="4" l="1"/>
  <c r="E14" i="4"/>
  <c r="G14" i="4"/>
  <c r="B5" i="6"/>
  <c r="B25" i="6" s="1"/>
  <c r="H14" i="4"/>
  <c r="F14" i="4"/>
  <c r="G20" i="6" l="1"/>
  <c r="G19" i="9"/>
  <c r="E20" i="6"/>
  <c r="E19" i="9"/>
  <c r="C20" i="6"/>
  <c r="C19" i="9"/>
  <c r="F20" i="6"/>
  <c r="F19" i="9"/>
  <c r="D20" i="6"/>
  <c r="D19" i="9"/>
  <c r="F34" i="1"/>
  <c r="G34" i="1" l="1"/>
  <c r="H34" i="1" l="1"/>
  <c r="I34" i="1" l="1"/>
  <c r="J34" i="1" l="1"/>
  <c r="K34" i="1" l="1"/>
  <c r="L34" i="1" l="1"/>
  <c r="M34" i="1" l="1"/>
  <c r="N34" i="1" l="1"/>
  <c r="O34" i="1" l="1"/>
  <c r="E38" i="1"/>
  <c r="E39" i="1" s="1"/>
  <c r="E89" i="1" l="1"/>
  <c r="E61" i="1"/>
  <c r="H38" i="1"/>
  <c r="F49" i="1" l="1"/>
  <c r="F60" i="1"/>
  <c r="F69" i="1"/>
  <c r="E71" i="1"/>
  <c r="E73" i="1" s="1"/>
  <c r="E75" i="1" s="1"/>
  <c r="F38" i="1"/>
  <c r="F39" i="1" s="1"/>
  <c r="F89" i="1" s="1"/>
  <c r="G38" i="1"/>
  <c r="G52" i="1"/>
  <c r="I57" i="1" s="1"/>
  <c r="G53" i="1"/>
  <c r="G51" i="1"/>
  <c r="H64" i="1" s="1"/>
  <c r="I38" i="1"/>
  <c r="J38" i="1"/>
  <c r="N38" i="1"/>
  <c r="L38" i="1"/>
  <c r="M38" i="1"/>
  <c r="O38" i="1"/>
  <c r="P48" i="1"/>
  <c r="K38" i="1"/>
  <c r="I50" i="1"/>
  <c r="J50" i="1"/>
  <c r="K50" i="1"/>
  <c r="K52" i="1" s="1"/>
  <c r="L50" i="1"/>
  <c r="L53" i="1" s="1"/>
  <c r="M50" i="1"/>
  <c r="N50" i="1"/>
  <c r="N53" i="1" s="1"/>
  <c r="S58" i="1" s="1"/>
  <c r="O50" i="1"/>
  <c r="O52" i="1" s="1"/>
  <c r="P50" i="1" l="1"/>
  <c r="S57" i="1"/>
  <c r="P52" i="1"/>
  <c r="C7" i="6"/>
  <c r="F61" i="1"/>
  <c r="M65" i="1"/>
  <c r="M57" i="1"/>
  <c r="S65" i="1"/>
  <c r="O66" i="1"/>
  <c r="O58" i="1"/>
  <c r="S66" i="1"/>
  <c r="I65" i="1"/>
  <c r="J58" i="1"/>
  <c r="J66" i="1"/>
  <c r="M51" i="1"/>
  <c r="N64" i="1" s="1"/>
  <c r="J53" i="1"/>
  <c r="H56" i="1"/>
  <c r="L52" i="1"/>
  <c r="N57" i="1" s="1"/>
  <c r="O53" i="1"/>
  <c r="P53" i="1" s="1"/>
  <c r="F51" i="1"/>
  <c r="G64" i="1" s="1"/>
  <c r="F52" i="1"/>
  <c r="F53" i="1"/>
  <c r="P38" i="1"/>
  <c r="N51" i="1"/>
  <c r="M53" i="1"/>
  <c r="R58" i="1" s="1"/>
  <c r="M52" i="1"/>
  <c r="I52" i="1"/>
  <c r="K57" i="1" s="1"/>
  <c r="K53" i="1"/>
  <c r="N66" i="1" s="1"/>
  <c r="N52" i="1"/>
  <c r="R57" i="1" s="1"/>
  <c r="AD57" i="1" s="1"/>
  <c r="J52" i="1"/>
  <c r="L57" i="1" s="1"/>
  <c r="I53" i="1"/>
  <c r="L66" i="1" s="1"/>
  <c r="K51" i="1"/>
  <c r="O51" i="1"/>
  <c r="L51" i="1"/>
  <c r="J51" i="1"/>
  <c r="I51" i="1"/>
  <c r="R56" i="1" l="1"/>
  <c r="P51" i="1"/>
  <c r="S68" i="1"/>
  <c r="S36" i="1" s="1"/>
  <c r="G60" i="1"/>
  <c r="F71" i="1"/>
  <c r="F73" i="1" s="1"/>
  <c r="F75" i="1" s="1"/>
  <c r="G49" i="1"/>
  <c r="G68" i="1"/>
  <c r="AD56" i="1"/>
  <c r="R59" i="1"/>
  <c r="T66" i="1"/>
  <c r="T58" i="1"/>
  <c r="AD58" i="1" s="1"/>
  <c r="O65" i="1"/>
  <c r="O57" i="1"/>
  <c r="R64" i="1"/>
  <c r="U59" i="1"/>
  <c r="R65" i="1"/>
  <c r="AD65" i="1" s="1"/>
  <c r="R66" i="1"/>
  <c r="K65" i="1"/>
  <c r="N65" i="1"/>
  <c r="N68" i="1" s="1"/>
  <c r="M58" i="1"/>
  <c r="M66" i="1"/>
  <c r="I58" i="1"/>
  <c r="I66" i="1"/>
  <c r="I68" i="1" s="1"/>
  <c r="L65" i="1"/>
  <c r="H57" i="1"/>
  <c r="H59" i="1" s="1"/>
  <c r="H65" i="1"/>
  <c r="L58" i="1"/>
  <c r="N56" i="1"/>
  <c r="S59" i="1"/>
  <c r="N58" i="1"/>
  <c r="L64" i="1"/>
  <c r="L56" i="1"/>
  <c r="O64" i="1"/>
  <c r="O56" i="1"/>
  <c r="J64" i="1"/>
  <c r="J56" i="1"/>
  <c r="J59" i="1" s="1"/>
  <c r="K64" i="1"/>
  <c r="K56" i="1"/>
  <c r="K59" i="1" s="1"/>
  <c r="M64" i="1"/>
  <c r="M56" i="1"/>
  <c r="G69" i="1"/>
  <c r="G56" i="1"/>
  <c r="G59" i="1" s="1"/>
  <c r="G44" i="1" s="1"/>
  <c r="M68" i="1" l="1"/>
  <c r="H44" i="1"/>
  <c r="H46" i="1" s="1"/>
  <c r="L68" i="1"/>
  <c r="L36" i="1" s="1"/>
  <c r="K68" i="1"/>
  <c r="J68" i="1"/>
  <c r="AD64" i="1"/>
  <c r="AD51" i="1" s="1"/>
  <c r="R68" i="1"/>
  <c r="H68" i="1"/>
  <c r="O68" i="1"/>
  <c r="T68" i="1"/>
  <c r="T36" i="1" s="1"/>
  <c r="G36" i="1"/>
  <c r="G39" i="1" s="1"/>
  <c r="G89" i="1" s="1"/>
  <c r="P66" i="1"/>
  <c r="T59" i="1"/>
  <c r="AD59" i="1" s="1"/>
  <c r="P54" i="1"/>
  <c r="I59" i="1"/>
  <c r="P58" i="1"/>
  <c r="AD66" i="1"/>
  <c r="L59" i="1"/>
  <c r="M59" i="1"/>
  <c r="M36" i="1"/>
  <c r="N59" i="1"/>
  <c r="N36" i="1"/>
  <c r="I36" i="1"/>
  <c r="P65" i="1"/>
  <c r="P56" i="1"/>
  <c r="P64" i="1"/>
  <c r="G61" i="1"/>
  <c r="O59" i="1"/>
  <c r="P59" i="1" s="1"/>
  <c r="P57" i="1"/>
  <c r="AD68" i="1" l="1"/>
  <c r="E6" i="4" s="1"/>
  <c r="D10" i="9" s="1"/>
  <c r="D12" i="9" s="1"/>
  <c r="P68" i="1"/>
  <c r="G71" i="1"/>
  <c r="G73" i="1" s="1"/>
  <c r="G75" i="1" s="1"/>
  <c r="H60" i="1"/>
  <c r="O36" i="1"/>
  <c r="O39" i="1" s="1"/>
  <c r="O89" i="1" s="1"/>
  <c r="J36" i="1"/>
  <c r="J39" i="1" s="1"/>
  <c r="J89" i="1" s="1"/>
  <c r="K36" i="1"/>
  <c r="K39" i="1" s="1"/>
  <c r="K89" i="1" s="1"/>
  <c r="H36" i="1"/>
  <c r="H39" i="1" s="1"/>
  <c r="H89" i="1" s="1"/>
  <c r="M39" i="1"/>
  <c r="M89" i="1" s="1"/>
  <c r="L39" i="1"/>
  <c r="L89" i="1" s="1"/>
  <c r="I39" i="1"/>
  <c r="I89" i="1" s="1"/>
  <c r="N39" i="1"/>
  <c r="N89" i="1" s="1"/>
  <c r="R36" i="1"/>
  <c r="I44" i="1"/>
  <c r="J44" i="1" s="1"/>
  <c r="K44" i="1" s="1"/>
  <c r="L44" i="1" s="1"/>
  <c r="M44" i="1" s="1"/>
  <c r="N44" i="1" s="1"/>
  <c r="H69" i="1"/>
  <c r="H49" i="1"/>
  <c r="P36" i="1" l="1"/>
  <c r="P39" i="1" s="1"/>
  <c r="O44" i="1"/>
  <c r="P44" i="1" s="1"/>
  <c r="H61" i="1"/>
  <c r="AD36" i="1" l="1"/>
  <c r="H71" i="1"/>
  <c r="H73" i="1" s="1"/>
  <c r="H75" i="1" s="1"/>
  <c r="I60" i="1"/>
  <c r="D9" i="4"/>
  <c r="P89" i="1"/>
  <c r="P91" i="1" s="1"/>
  <c r="AQ36" i="1"/>
  <c r="I49" i="1"/>
  <c r="I61" i="1" s="1"/>
  <c r="I69" i="1"/>
  <c r="C15" i="6" l="1"/>
  <c r="C14" i="9"/>
  <c r="BD36" i="1"/>
  <c r="I71" i="1" l="1"/>
  <c r="I73" i="1" s="1"/>
  <c r="I75" i="1" s="1"/>
  <c r="J60" i="1"/>
  <c r="BQ36" i="1"/>
  <c r="J49" i="1"/>
  <c r="J69" i="1"/>
  <c r="J61" i="1" l="1"/>
  <c r="J71" i="1" l="1"/>
  <c r="J73" i="1" s="1"/>
  <c r="J75" i="1" s="1"/>
  <c r="K60" i="1"/>
  <c r="K69" i="1"/>
  <c r="K49" i="1"/>
  <c r="K61" i="1" l="1"/>
  <c r="L49" i="1" l="1"/>
  <c r="L60" i="1"/>
  <c r="L69" i="1"/>
  <c r="K71" i="1"/>
  <c r="K73" i="1" l="1"/>
  <c r="K75" i="1" s="1"/>
  <c r="L61" i="1"/>
  <c r="M49" i="1" l="1"/>
  <c r="M60" i="1"/>
  <c r="M69" i="1"/>
  <c r="L71" i="1"/>
  <c r="D6" i="4"/>
  <c r="C10" i="9" s="1"/>
  <c r="C12" i="9" s="1"/>
  <c r="M61" i="1" l="1"/>
  <c r="M71" i="1" s="1"/>
  <c r="M73" i="1" s="1"/>
  <c r="M75" i="1" s="1"/>
  <c r="L73" i="1"/>
  <c r="L75" i="1" s="1"/>
  <c r="D17" i="4"/>
  <c r="N49" i="1" l="1"/>
  <c r="N60" i="1"/>
  <c r="N61" i="1" s="1"/>
  <c r="O49" i="1" s="1"/>
  <c r="AD49" i="1" s="1"/>
  <c r="N69" i="1"/>
  <c r="O69" i="1" l="1"/>
  <c r="P69" i="1" s="1"/>
  <c r="C11" i="6" s="1"/>
  <c r="C13" i="6" s="1"/>
  <c r="O60" i="1"/>
  <c r="N71" i="1"/>
  <c r="N73" i="1" s="1"/>
  <c r="N75" i="1" s="1"/>
  <c r="O61" i="1" l="1"/>
  <c r="P61" i="1" s="1"/>
  <c r="P60" i="1"/>
  <c r="R44" i="1" s="1"/>
  <c r="R69" i="1"/>
  <c r="R49" i="1"/>
  <c r="O71" i="1" l="1"/>
  <c r="D11" i="4"/>
  <c r="O73" i="1"/>
  <c r="P73" i="1" s="1"/>
  <c r="C17" i="6"/>
  <c r="C16" i="9"/>
  <c r="C17" i="9" s="1"/>
  <c r="R46" i="1"/>
  <c r="S44" i="1"/>
  <c r="P71" i="1"/>
  <c r="R61" i="1"/>
  <c r="S60" i="1" s="1"/>
  <c r="S69" i="1" l="1"/>
  <c r="O75" i="1"/>
  <c r="P75" i="1" s="1"/>
  <c r="C28" i="9"/>
  <c r="C20" i="9"/>
  <c r="D7" i="4"/>
  <c r="J8" i="4" s="1"/>
  <c r="S46" i="1"/>
  <c r="T44" i="1"/>
  <c r="S49" i="1"/>
  <c r="R71" i="1"/>
  <c r="R73" i="1" s="1"/>
  <c r="F46" i="1"/>
  <c r="D8" i="4" l="1"/>
  <c r="D4" i="4"/>
  <c r="C14" i="6"/>
  <c r="C18" i="6" s="1"/>
  <c r="C29" i="6" s="1"/>
  <c r="D12" i="4"/>
  <c r="D15" i="4" s="1"/>
  <c r="D18" i="4" s="1"/>
  <c r="D21" i="4" s="1"/>
  <c r="C13" i="9"/>
  <c r="C21" i="9"/>
  <c r="C22" i="9" s="1"/>
  <c r="C29" i="9"/>
  <c r="U44" i="1"/>
  <c r="T46" i="1"/>
  <c r="S61" i="1"/>
  <c r="G46" i="1"/>
  <c r="T69" i="1" l="1"/>
  <c r="T60" i="1"/>
  <c r="T49" i="1"/>
  <c r="C24" i="9"/>
  <c r="C30" i="9"/>
  <c r="V44" i="1"/>
  <c r="U46" i="1"/>
  <c r="C21" i="6"/>
  <c r="S71" i="1"/>
  <c r="S73" i="1" s="1"/>
  <c r="D22" i="4"/>
  <c r="D23" i="4" s="1"/>
  <c r="T61" i="1" l="1"/>
  <c r="U49" i="1" s="1"/>
  <c r="W44" i="1"/>
  <c r="V46" i="1"/>
  <c r="C30" i="6"/>
  <c r="C23" i="6"/>
  <c r="D24" i="4"/>
  <c r="I46" i="1"/>
  <c r="C25" i="6" l="1"/>
  <c r="C31" i="6"/>
  <c r="T71" i="1"/>
  <c r="T73" i="1" s="1"/>
  <c r="U60" i="1"/>
  <c r="U61" i="1" s="1"/>
  <c r="U69" i="1"/>
  <c r="C32" i="6"/>
  <c r="X44" i="1"/>
  <c r="W46" i="1"/>
  <c r="J46" i="1"/>
  <c r="U71" i="1" l="1"/>
  <c r="U73" i="1" s="1"/>
  <c r="V60" i="1"/>
  <c r="X46" i="1"/>
  <c r="Y44" i="1"/>
  <c r="V69" i="1"/>
  <c r="V49" i="1"/>
  <c r="K46" i="1"/>
  <c r="Z44" i="1" l="1"/>
  <c r="Y46" i="1"/>
  <c r="V61" i="1"/>
  <c r="W60" i="1" s="1"/>
  <c r="L46" i="1"/>
  <c r="Z46" i="1" l="1"/>
  <c r="AA44" i="1"/>
  <c r="W69" i="1"/>
  <c r="W49" i="1"/>
  <c r="W61" i="1" s="1"/>
  <c r="V71" i="1"/>
  <c r="V73" i="1" s="1"/>
  <c r="M46" i="1"/>
  <c r="X49" i="1" l="1"/>
  <c r="X60" i="1"/>
  <c r="AA46" i="1"/>
  <c r="AB44" i="1"/>
  <c r="X69" i="1"/>
  <c r="W71" i="1"/>
  <c r="W73" i="1" s="1"/>
  <c r="M19" i="1"/>
  <c r="N19" i="1"/>
  <c r="N21" i="1" s="1"/>
  <c r="N46" i="1"/>
  <c r="X61" i="1" l="1"/>
  <c r="Y49" i="1" s="1"/>
  <c r="AB46" i="1"/>
  <c r="AC44" i="1"/>
  <c r="O19" i="1"/>
  <c r="O21" i="1" s="1"/>
  <c r="O46" i="1"/>
  <c r="M21" i="1"/>
  <c r="Y60" i="1" l="1"/>
  <c r="Y61" i="1" s="1"/>
  <c r="Y71" i="1" s="1"/>
  <c r="Y69" i="1"/>
  <c r="X71" i="1"/>
  <c r="X73" i="1" s="1"/>
  <c r="AC46" i="1"/>
  <c r="AD44" i="1"/>
  <c r="AD18" i="1" s="1"/>
  <c r="P19" i="1"/>
  <c r="P18" i="1"/>
  <c r="P46" i="1"/>
  <c r="Z49" i="1" l="1"/>
  <c r="Z60" i="1"/>
  <c r="Y73" i="1"/>
  <c r="Z69" i="1"/>
  <c r="C8" i="6"/>
  <c r="B7" i="9"/>
  <c r="B24" i="9" s="1"/>
  <c r="C31" i="9" s="1"/>
  <c r="AD19" i="1"/>
  <c r="R18" i="1"/>
  <c r="P21" i="1"/>
  <c r="P47" i="1"/>
  <c r="AD54" i="1" s="1"/>
  <c r="AD46" i="1"/>
  <c r="AD52" i="1"/>
  <c r="Z61" i="1" l="1"/>
  <c r="Z71" i="1" s="1"/>
  <c r="Z73" i="1" s="1"/>
  <c r="AD21" i="1"/>
  <c r="D7" i="9"/>
  <c r="AD53" i="1"/>
  <c r="R19" i="1"/>
  <c r="R21" i="1" s="1"/>
  <c r="AA69" i="1" l="1"/>
  <c r="AA49" i="1"/>
  <c r="AA60" i="1"/>
  <c r="BD51" i="1"/>
  <c r="BD52" i="1"/>
  <c r="AQ38" i="1"/>
  <c r="AQ39" i="1" s="1"/>
  <c r="D8" i="6"/>
  <c r="D1" i="6" s="1"/>
  <c r="AD38" i="1"/>
  <c r="AD39" i="1" s="1"/>
  <c r="AA61" i="1" l="1"/>
  <c r="AA71" i="1" s="1"/>
  <c r="AA73" i="1" s="1"/>
  <c r="F9" i="4"/>
  <c r="AQ89" i="1"/>
  <c r="AQ91" i="1" s="1"/>
  <c r="E9" i="4"/>
  <c r="AD89" i="1"/>
  <c r="AD91" i="1" s="1"/>
  <c r="BM38" i="1"/>
  <c r="BM39" i="1" s="1"/>
  <c r="BE38" i="1"/>
  <c r="BE39" i="1" s="1"/>
  <c r="BL38" i="1"/>
  <c r="BL39" i="1" s="1"/>
  <c r="BK38" i="1"/>
  <c r="BK39" i="1" s="1"/>
  <c r="BJ38" i="1"/>
  <c r="BJ39" i="1" s="1"/>
  <c r="BI38" i="1"/>
  <c r="BI39" i="1" s="1"/>
  <c r="BP38" i="1"/>
  <c r="BH38" i="1"/>
  <c r="BH39" i="1" s="1"/>
  <c r="BO38" i="1"/>
  <c r="BG38" i="1"/>
  <c r="BG39" i="1" s="1"/>
  <c r="BN38" i="1"/>
  <c r="BN39" i="1" s="1"/>
  <c r="BF38" i="1"/>
  <c r="BF39" i="1" s="1"/>
  <c r="BB38" i="1"/>
  <c r="BB39" i="1" s="1"/>
  <c r="AT38" i="1"/>
  <c r="AT39" i="1" s="1"/>
  <c r="BA38" i="1"/>
  <c r="BA39" i="1" s="1"/>
  <c r="AS38" i="1"/>
  <c r="AS39" i="1" s="1"/>
  <c r="AZ38" i="1"/>
  <c r="AZ39" i="1" s="1"/>
  <c r="AR38" i="1"/>
  <c r="AR39" i="1" s="1"/>
  <c r="AY38" i="1"/>
  <c r="AY39" i="1" s="1"/>
  <c r="AX38" i="1"/>
  <c r="AX39" i="1" s="1"/>
  <c r="AU38" i="1"/>
  <c r="AU39" i="1" s="1"/>
  <c r="AW38" i="1"/>
  <c r="AW39" i="1" s="1"/>
  <c r="BC38" i="1"/>
  <c r="BC39" i="1" s="1"/>
  <c r="AV38" i="1"/>
  <c r="AV39" i="1" s="1"/>
  <c r="AK38" i="1"/>
  <c r="AK39" i="1" s="1"/>
  <c r="AP38" i="1"/>
  <c r="AP39" i="1" s="1"/>
  <c r="AJ38" i="1"/>
  <c r="AJ39" i="1" s="1"/>
  <c r="AM38" i="1"/>
  <c r="AM39" i="1" s="1"/>
  <c r="AL38" i="1"/>
  <c r="AL39" i="1" s="1"/>
  <c r="AI38" i="1"/>
  <c r="AI39" i="1" s="1"/>
  <c r="AF38" i="1"/>
  <c r="AF39" i="1" s="1"/>
  <c r="AH38" i="1"/>
  <c r="AH39" i="1" s="1"/>
  <c r="AO38" i="1"/>
  <c r="AO39" i="1" s="1"/>
  <c r="AG38" i="1"/>
  <c r="AG39" i="1" s="1"/>
  <c r="AN38" i="1"/>
  <c r="AN39" i="1" s="1"/>
  <c r="AE38" i="1"/>
  <c r="AE39" i="1" s="1"/>
  <c r="D11" i="6"/>
  <c r="D13" i="6" s="1"/>
  <c r="E17" i="4"/>
  <c r="BQ53" i="1"/>
  <c r="BQ52" i="1"/>
  <c r="E11" i="6"/>
  <c r="E13" i="6" s="1"/>
  <c r="F17" i="4"/>
  <c r="T38" i="1"/>
  <c r="T39" i="1" s="1"/>
  <c r="T75" i="1" s="1"/>
  <c r="U38" i="1"/>
  <c r="U39" i="1" s="1"/>
  <c r="U75" i="1" s="1"/>
  <c r="W38" i="1"/>
  <c r="W39" i="1" s="1"/>
  <c r="W75" i="1" s="1"/>
  <c r="Y38" i="1"/>
  <c r="Y39" i="1" s="1"/>
  <c r="Y75" i="1" s="1"/>
  <c r="Z38" i="1"/>
  <c r="Z39" i="1" s="1"/>
  <c r="Z75" i="1" s="1"/>
  <c r="X38" i="1"/>
  <c r="X39" i="1" s="1"/>
  <c r="X75" i="1" s="1"/>
  <c r="R38" i="1"/>
  <c r="R39" i="1" s="1"/>
  <c r="R75" i="1" s="1"/>
  <c r="AA38" i="1"/>
  <c r="AA39" i="1" s="1"/>
  <c r="S38" i="1"/>
  <c r="S39" i="1" s="1"/>
  <c r="S75" i="1" s="1"/>
  <c r="AB38" i="1"/>
  <c r="AB39" i="1" s="1"/>
  <c r="AC38" i="1"/>
  <c r="AC39" i="1" s="1"/>
  <c r="V38" i="1"/>
  <c r="V39" i="1" s="1"/>
  <c r="V75" i="1" s="1"/>
  <c r="AB49" i="1" l="1"/>
  <c r="AQ49" i="1" s="1"/>
  <c r="AB69" i="1"/>
  <c r="AB60" i="1"/>
  <c r="AA75" i="1"/>
  <c r="D14" i="9"/>
  <c r="D15" i="6"/>
  <c r="E14" i="9"/>
  <c r="E15" i="6"/>
  <c r="BD53" i="1"/>
  <c r="G17" i="4"/>
  <c r="F11" i="6"/>
  <c r="F13" i="6" s="1"/>
  <c r="BD38" i="1"/>
  <c r="BD39" i="1" s="1"/>
  <c r="AB61" i="1" l="1"/>
  <c r="AC69" i="1" s="1"/>
  <c r="AD69" i="1" s="1"/>
  <c r="AC60" i="1"/>
  <c r="AD60" i="1" s="1"/>
  <c r="E11" i="4" s="1"/>
  <c r="AC49" i="1"/>
  <c r="AE69" i="1"/>
  <c r="AB71" i="1"/>
  <c r="AB73" i="1" s="1"/>
  <c r="AB75" i="1" s="1"/>
  <c r="AE44" i="1"/>
  <c r="AE46" i="1" s="1"/>
  <c r="BD89" i="1"/>
  <c r="BD91" i="1" s="1"/>
  <c r="G9" i="4"/>
  <c r="AC61" i="1" l="1"/>
  <c r="AE49" i="1" s="1"/>
  <c r="AC71" i="1"/>
  <c r="AD71" i="1" s="1"/>
  <c r="E7" i="4" s="1"/>
  <c r="E8" i="4" s="1"/>
  <c r="AD61" i="1"/>
  <c r="AE60" i="1" s="1"/>
  <c r="AE61" i="1" s="1"/>
  <c r="AF60" i="1" s="1"/>
  <c r="AF44" i="1"/>
  <c r="AF46" i="1" s="1"/>
  <c r="D17" i="6"/>
  <c r="D16" i="9"/>
  <c r="D17" i="9" s="1"/>
  <c r="D28" i="9" s="1"/>
  <c r="F14" i="9"/>
  <c r="F15" i="6"/>
  <c r="AC73" i="1" l="1"/>
  <c r="AC75" i="1" s="1"/>
  <c r="AD75" i="1" s="1"/>
  <c r="K8" i="4"/>
  <c r="D14" i="6"/>
  <c r="D18" i="6" s="1"/>
  <c r="D21" i="6" s="1"/>
  <c r="D13" i="9"/>
  <c r="E12" i="4"/>
  <c r="E15" i="4" s="1"/>
  <c r="E18" i="4" s="1"/>
  <c r="E22" i="4" s="1"/>
  <c r="E23" i="4" s="1"/>
  <c r="AE71" i="1"/>
  <c r="AE73" i="1" s="1"/>
  <c r="AE75" i="1" s="1"/>
  <c r="AG44" i="1"/>
  <c r="AH44" i="1" s="1"/>
  <c r="AF69" i="1"/>
  <c r="AF49" i="1"/>
  <c r="AF61" i="1" s="1"/>
  <c r="AG60" i="1" s="1"/>
  <c r="AD73" i="1"/>
  <c r="D20" i="9"/>
  <c r="D29" i="9" s="1"/>
  <c r="E21" i="4" l="1"/>
  <c r="AG46" i="1"/>
  <c r="D29" i="6"/>
  <c r="D21" i="9"/>
  <c r="D22" i="9" s="1"/>
  <c r="D31" i="9" s="1"/>
  <c r="AH46" i="1"/>
  <c r="AI44" i="1"/>
  <c r="AG49" i="1"/>
  <c r="AG61" i="1" s="1"/>
  <c r="AH60" i="1" s="1"/>
  <c r="AF71" i="1"/>
  <c r="AF73" i="1" s="1"/>
  <c r="AF75" i="1" s="1"/>
  <c r="AG69" i="1"/>
  <c r="E24" i="4"/>
  <c r="D22" i="6"/>
  <c r="D23" i="6" s="1"/>
  <c r="D25" i="6" s="1"/>
  <c r="D30" i="6"/>
  <c r="D24" i="9" l="1"/>
  <c r="D30" i="9"/>
  <c r="AG71" i="1"/>
  <c r="AG73" i="1" s="1"/>
  <c r="AG75" i="1" s="1"/>
  <c r="AH69" i="1"/>
  <c r="AH49" i="1"/>
  <c r="AJ44" i="1"/>
  <c r="AI46" i="1"/>
  <c r="D32" i="6"/>
  <c r="D31" i="6"/>
  <c r="AH61" i="1" l="1"/>
  <c r="AI60" i="1" s="1"/>
  <c r="AK44" i="1"/>
  <c r="AJ46" i="1"/>
  <c r="AH71" i="1" l="1"/>
  <c r="AH73" i="1" s="1"/>
  <c r="AH75" i="1" s="1"/>
  <c r="AI49" i="1"/>
  <c r="AI61" i="1" s="1"/>
  <c r="AJ60" i="1" s="1"/>
  <c r="AI69" i="1"/>
  <c r="AL44" i="1"/>
  <c r="AK46" i="1"/>
  <c r="AJ49" i="1" l="1"/>
  <c r="AI71" i="1"/>
  <c r="AI73" i="1" s="1"/>
  <c r="AI75" i="1" s="1"/>
  <c r="AJ69" i="1"/>
  <c r="AM44" i="1"/>
  <c r="AL46" i="1"/>
  <c r="AJ61" i="1" l="1"/>
  <c r="AK60" i="1" s="1"/>
  <c r="AM46" i="1"/>
  <c r="AN44" i="1"/>
  <c r="AK69" i="1" l="1"/>
  <c r="AK49" i="1"/>
  <c r="AK61" i="1" s="1"/>
  <c r="AL60" i="1" s="1"/>
  <c r="AJ71" i="1"/>
  <c r="AJ73" i="1" s="1"/>
  <c r="AJ75" i="1" s="1"/>
  <c r="AO44" i="1"/>
  <c r="AN46" i="1"/>
  <c r="AL69" i="1" l="1"/>
  <c r="AK71" i="1"/>
  <c r="AK73" i="1" s="1"/>
  <c r="AK75" i="1" s="1"/>
  <c r="AL49" i="1"/>
  <c r="AL61" i="1" s="1"/>
  <c r="AO46" i="1"/>
  <c r="AP44" i="1"/>
  <c r="AM60" i="1" l="1"/>
  <c r="AL71" i="1"/>
  <c r="AL73" i="1" s="1"/>
  <c r="AL75" i="1" s="1"/>
  <c r="AM49" i="1"/>
  <c r="AM69" i="1"/>
  <c r="AP46" i="1"/>
  <c r="AQ44" i="1"/>
  <c r="AM61" i="1" l="1"/>
  <c r="AN60" i="1" s="1"/>
  <c r="AQ18" i="1"/>
  <c r="AQ46" i="1"/>
  <c r="AN49" i="1"/>
  <c r="AN69" i="1"/>
  <c r="AM71" i="1" l="1"/>
  <c r="AM73" i="1" s="1"/>
  <c r="AM75" i="1" s="1"/>
  <c r="AE18" i="1"/>
  <c r="AE19" i="1" s="1"/>
  <c r="AE21" i="1" s="1"/>
  <c r="AQ19" i="1"/>
  <c r="E7" i="9" s="1"/>
  <c r="AN61" i="1"/>
  <c r="AO60" i="1" s="1"/>
  <c r="AN71" i="1" l="1"/>
  <c r="AN73" i="1" s="1"/>
  <c r="AN75" i="1" s="1"/>
  <c r="AO69" i="1"/>
  <c r="AO49" i="1"/>
  <c r="BD49" i="1" s="1"/>
  <c r="AQ21" i="1"/>
  <c r="E8" i="6"/>
  <c r="E1" i="6" s="1"/>
  <c r="AO61" i="1"/>
  <c r="AP60" i="1" s="1"/>
  <c r="AQ60" i="1" s="1"/>
  <c r="AR69" i="1" l="1"/>
  <c r="AO71" i="1"/>
  <c r="AO73" i="1" s="1"/>
  <c r="AO75" i="1" s="1"/>
  <c r="AP49" i="1"/>
  <c r="AP69" i="1"/>
  <c r="AQ69" i="1" s="1"/>
  <c r="AR44" i="1" l="1"/>
  <c r="AS44" i="1" s="1"/>
  <c r="AP61" i="1"/>
  <c r="AR49" i="1" l="1"/>
  <c r="AR46" i="1"/>
  <c r="AP71" i="1"/>
  <c r="AQ71" i="1" s="1"/>
  <c r="F7" i="4" s="1"/>
  <c r="F11" i="4"/>
  <c r="E17" i="6" s="1"/>
  <c r="AQ61" i="1"/>
  <c r="AR60" i="1" s="1"/>
  <c r="AS46" i="1"/>
  <c r="AT44" i="1"/>
  <c r="E13" i="9" l="1"/>
  <c r="L8" i="4"/>
  <c r="AR61" i="1"/>
  <c r="AS60" i="1" s="1"/>
  <c r="F8" i="4"/>
  <c r="F12" i="4"/>
  <c r="F15" i="4" s="1"/>
  <c r="F18" i="4" s="1"/>
  <c r="F21" i="4" s="1"/>
  <c r="E16" i="9"/>
  <c r="E17" i="9" s="1"/>
  <c r="E28" i="9" s="1"/>
  <c r="E14" i="6"/>
  <c r="E18" i="6" s="1"/>
  <c r="E29" i="6" s="1"/>
  <c r="AP73" i="1"/>
  <c r="AQ73" i="1" s="1"/>
  <c r="AU44" i="1"/>
  <c r="AT46" i="1"/>
  <c r="E20" i="9" l="1"/>
  <c r="E21" i="9" s="1"/>
  <c r="E22" i="9" s="1"/>
  <c r="AR71" i="1"/>
  <c r="AR73" i="1" s="1"/>
  <c r="AR75" i="1" s="1"/>
  <c r="AS69" i="1"/>
  <c r="AS49" i="1"/>
  <c r="AS61" i="1" s="1"/>
  <c r="AT60" i="1" s="1"/>
  <c r="F22" i="4"/>
  <c r="F23" i="4" s="1"/>
  <c r="F24" i="4" s="1"/>
  <c r="AP75" i="1"/>
  <c r="AQ75" i="1" s="1"/>
  <c r="AU46" i="1"/>
  <c r="AV44" i="1"/>
  <c r="E21" i="6"/>
  <c r="E29" i="9" l="1"/>
  <c r="AT69" i="1"/>
  <c r="AS71" i="1"/>
  <c r="AS73" i="1" s="1"/>
  <c r="AT49" i="1"/>
  <c r="AT61" i="1" s="1"/>
  <c r="AU60" i="1" s="1"/>
  <c r="E24" i="9"/>
  <c r="E31" i="9"/>
  <c r="E30" i="9"/>
  <c r="AV46" i="1"/>
  <c r="AW44" i="1"/>
  <c r="E30" i="6"/>
  <c r="E22" i="6"/>
  <c r="E23" i="6" s="1"/>
  <c r="E25" i="6" s="1"/>
  <c r="E31" i="6" l="1"/>
  <c r="E32" i="6"/>
  <c r="AW46" i="1"/>
  <c r="AX44" i="1"/>
  <c r="AS75" i="1"/>
  <c r="AU49" i="1"/>
  <c r="AT71" i="1"/>
  <c r="AU69" i="1"/>
  <c r="AX46" i="1" l="1"/>
  <c r="AY44" i="1"/>
  <c r="AT73" i="1"/>
  <c r="AU61" i="1"/>
  <c r="AV60" i="1" s="1"/>
  <c r="AY46" i="1" l="1"/>
  <c r="AZ44" i="1"/>
  <c r="AV69" i="1"/>
  <c r="AU71" i="1"/>
  <c r="AV49" i="1"/>
  <c r="AT75" i="1"/>
  <c r="BA44" i="1" l="1"/>
  <c r="AZ46" i="1"/>
  <c r="AV61" i="1"/>
  <c r="AW60" i="1" s="1"/>
  <c r="AU73" i="1"/>
  <c r="AW49" i="1" l="1"/>
  <c r="AW61" i="1" s="1"/>
  <c r="AX60" i="1" s="1"/>
  <c r="AV71" i="1"/>
  <c r="AV73" i="1" s="1"/>
  <c r="AV75" i="1" s="1"/>
  <c r="BB44" i="1"/>
  <c r="BA46" i="1"/>
  <c r="AW69" i="1"/>
  <c r="AU75" i="1"/>
  <c r="BC44" i="1" l="1"/>
  <c r="BB46" i="1"/>
  <c r="AW71" i="1"/>
  <c r="AX69" i="1"/>
  <c r="AX49" i="1"/>
  <c r="BC46" i="1" l="1"/>
  <c r="BD44" i="1"/>
  <c r="AX61" i="1"/>
  <c r="AY60" i="1" s="1"/>
  <c r="AW73" i="1"/>
  <c r="AY69" i="1" l="1"/>
  <c r="AY49" i="1"/>
  <c r="AY61" i="1" s="1"/>
  <c r="AZ60" i="1" s="1"/>
  <c r="AX71" i="1"/>
  <c r="AX73" i="1" s="1"/>
  <c r="AX75" i="1" s="1"/>
  <c r="BD18" i="1"/>
  <c r="BD46" i="1"/>
  <c r="AW75" i="1"/>
  <c r="AY71" i="1" l="1"/>
  <c r="AY73" i="1" s="1"/>
  <c r="AY75" i="1" s="1"/>
  <c r="AZ69" i="1"/>
  <c r="AZ49" i="1"/>
  <c r="AZ61" i="1" s="1"/>
  <c r="BA60" i="1" s="1"/>
  <c r="AR18" i="1"/>
  <c r="AR19" i="1" s="1"/>
  <c r="AR21" i="1" s="1"/>
  <c r="BD19" i="1"/>
  <c r="F7" i="9" s="1"/>
  <c r="BA49" i="1" l="1"/>
  <c r="BA61" i="1" s="1"/>
  <c r="BB60" i="1" s="1"/>
  <c r="BD21" i="1"/>
  <c r="F8" i="6"/>
  <c r="F1" i="6" s="1"/>
  <c r="BA69" i="1"/>
  <c r="AZ71" i="1"/>
  <c r="AZ73" i="1" s="1"/>
  <c r="AZ75" i="1" s="1"/>
  <c r="BB49" i="1" l="1"/>
  <c r="BQ49" i="1" s="1"/>
  <c r="BA71" i="1"/>
  <c r="BA73" i="1" s="1"/>
  <c r="BA75" i="1" s="1"/>
  <c r="BB69" i="1"/>
  <c r="BB61" i="1" l="1"/>
  <c r="BC60" i="1" s="1"/>
  <c r="BD60" i="1" s="1"/>
  <c r="BC49" i="1" l="1"/>
  <c r="BC61" i="1" s="1"/>
  <c r="BC69" i="1"/>
  <c r="BD69" i="1" s="1"/>
  <c r="BB71" i="1"/>
  <c r="BB73" i="1" s="1"/>
  <c r="BB75" i="1" s="1"/>
  <c r="BE69" i="1"/>
  <c r="BE44" i="1"/>
  <c r="BF44" i="1" s="1"/>
  <c r="BE49" i="1" l="1"/>
  <c r="BE46" i="1"/>
  <c r="BC71" i="1"/>
  <c r="BD71" i="1" s="1"/>
  <c r="G7" i="4" s="1"/>
  <c r="G11" i="4"/>
  <c r="BD61" i="1"/>
  <c r="BG44" i="1"/>
  <c r="BF46" i="1"/>
  <c r="F13" i="9" l="1"/>
  <c r="M8" i="4"/>
  <c r="BE60" i="1"/>
  <c r="BE61" i="1" s="1"/>
  <c r="BC73" i="1"/>
  <c r="BC75" i="1" s="1"/>
  <c r="BD75" i="1" s="1"/>
  <c r="G8" i="4"/>
  <c r="G12" i="4"/>
  <c r="G15" i="4" s="1"/>
  <c r="G18" i="4" s="1"/>
  <c r="G21" i="4" s="1"/>
  <c r="F14" i="6"/>
  <c r="F16" i="9"/>
  <c r="F17" i="9" s="1"/>
  <c r="F28" i="9" s="1"/>
  <c r="F17" i="6"/>
  <c r="BG46" i="1"/>
  <c r="BH44" i="1"/>
  <c r="BF60" i="1" l="1"/>
  <c r="BF69" i="1"/>
  <c r="BE71" i="1"/>
  <c r="BE73" i="1" s="1"/>
  <c r="BF49" i="1"/>
  <c r="BD73" i="1"/>
  <c r="G22" i="4"/>
  <c r="G23" i="4" s="1"/>
  <c r="G24" i="4" s="1"/>
  <c r="F18" i="6"/>
  <c r="F21" i="6" s="1"/>
  <c r="F22" i="6" s="1"/>
  <c r="F23" i="6" s="1"/>
  <c r="F25" i="6" s="1"/>
  <c r="F20" i="9"/>
  <c r="F21" i="9" s="1"/>
  <c r="F22" i="9" s="1"/>
  <c r="BI44" i="1"/>
  <c r="BH46" i="1"/>
  <c r="BF61" i="1" l="1"/>
  <c r="BG60" i="1" s="1"/>
  <c r="F29" i="6"/>
  <c r="F30" i="6"/>
  <c r="F29" i="9"/>
  <c r="F31" i="9"/>
  <c r="F30" i="9"/>
  <c r="F24" i="9"/>
  <c r="BI46" i="1"/>
  <c r="BJ44" i="1"/>
  <c r="F32" i="6"/>
  <c r="F31" i="6"/>
  <c r="BE75" i="1"/>
  <c r="BF71" i="1" l="1"/>
  <c r="BF73" i="1" s="1"/>
  <c r="BF75" i="1" s="1"/>
  <c r="BG69" i="1"/>
  <c r="BG49" i="1"/>
  <c r="BG61" i="1" s="1"/>
  <c r="BH60" i="1" s="1"/>
  <c r="BK44" i="1"/>
  <c r="BJ46" i="1"/>
  <c r="BK46" i="1" l="1"/>
  <c r="BL44" i="1"/>
  <c r="BH49" i="1"/>
  <c r="BH61" i="1" s="1"/>
  <c r="BI60" i="1" s="1"/>
  <c r="BG71" i="1"/>
  <c r="BG73" i="1" s="1"/>
  <c r="BG75" i="1" s="1"/>
  <c r="BH69" i="1"/>
  <c r="BH71" i="1" l="1"/>
  <c r="BH73" i="1" s="1"/>
  <c r="BI69" i="1"/>
  <c r="BL46" i="1"/>
  <c r="BM44" i="1"/>
  <c r="BI49" i="1"/>
  <c r="BI61" i="1" s="1"/>
  <c r="BJ60" i="1" s="1"/>
  <c r="BQ18" i="1" l="1"/>
  <c r="BE18" i="1" s="1"/>
  <c r="BE19" i="1" s="1"/>
  <c r="BQ44" i="1"/>
  <c r="BN44" i="1"/>
  <c r="BN46" i="1" s="1"/>
  <c r="BM46" i="1"/>
  <c r="BH75" i="1"/>
  <c r="BJ69" i="1"/>
  <c r="BJ49" i="1"/>
  <c r="BI71" i="1"/>
  <c r="BI73" i="1" l="1"/>
  <c r="BJ61" i="1"/>
  <c r="BK60" i="1" s="1"/>
  <c r="BK49" i="1" l="1"/>
  <c r="BJ71" i="1"/>
  <c r="BJ73" i="1" s="1"/>
  <c r="BJ75" i="1" s="1"/>
  <c r="BK69" i="1"/>
  <c r="BI75" i="1"/>
  <c r="BK61" i="1" l="1"/>
  <c r="BL60" i="1" s="1"/>
  <c r="BL69" i="1" l="1"/>
  <c r="BK71" i="1"/>
  <c r="BK73" i="1" s="1"/>
  <c r="BL49" i="1"/>
  <c r="BL61" i="1" l="1"/>
  <c r="BM60" i="1" s="1"/>
  <c r="BK75" i="1"/>
  <c r="BM49" i="1" l="1"/>
  <c r="BM69" i="1"/>
  <c r="BL71" i="1"/>
  <c r="BL73" i="1" s="1"/>
  <c r="BL75" i="1" s="1"/>
  <c r="BM61" i="1" l="1"/>
  <c r="BN60" i="1" s="1"/>
  <c r="BN69" i="1" l="1"/>
  <c r="BM71" i="1"/>
  <c r="BM73" i="1" s="1"/>
  <c r="BM75" i="1" s="1"/>
  <c r="BN49" i="1"/>
  <c r="BN61" i="1" s="1"/>
  <c r="BO60" i="1" s="1"/>
  <c r="BO50" i="1"/>
  <c r="BO67" i="1"/>
  <c r="BO68" i="1" s="1"/>
  <c r="BP67" i="1"/>
  <c r="BP50" i="1"/>
  <c r="BP51" i="1" l="1"/>
  <c r="BQ50" i="1"/>
  <c r="BO49" i="1"/>
  <c r="BO61" i="1" s="1"/>
  <c r="BP60" i="1" s="1"/>
  <c r="BQ60" i="1" s="1"/>
  <c r="BN71" i="1"/>
  <c r="BN73" i="1" s="1"/>
  <c r="BN75" i="1" s="1"/>
  <c r="BO69" i="1"/>
  <c r="BO51" i="1"/>
  <c r="BP56" i="1" s="1"/>
  <c r="BP59" i="1" s="1"/>
  <c r="BQ67" i="1"/>
  <c r="BO36" i="1"/>
  <c r="BO39" i="1" s="1"/>
  <c r="BO44" i="1"/>
  <c r="BQ48" i="1"/>
  <c r="G7" i="6" s="1"/>
  <c r="BP64" i="1" l="1"/>
  <c r="BP68" i="1" s="1"/>
  <c r="BQ38" i="1"/>
  <c r="BQ39" i="1" s="1"/>
  <c r="BQ89" i="1" s="1"/>
  <c r="BQ91" i="1" s="1"/>
  <c r="BO46" i="1"/>
  <c r="BQ59" i="1"/>
  <c r="BQ56" i="1"/>
  <c r="BO71" i="1"/>
  <c r="BP49" i="1"/>
  <c r="BQ64" i="1" l="1"/>
  <c r="BQ51" i="1" s="1"/>
  <c r="H9" i="4"/>
  <c r="G14" i="9" s="1"/>
  <c r="BP61" i="1"/>
  <c r="BQ61" i="1" s="1"/>
  <c r="BO73" i="1"/>
  <c r="BQ69" i="1"/>
  <c r="BP36" i="1"/>
  <c r="BP39" i="1" s="1"/>
  <c r="BQ68" i="1"/>
  <c r="H6" i="4" s="1"/>
  <c r="G10" i="9" s="1"/>
  <c r="G12" i="9" s="1"/>
  <c r="G15" i="6" l="1"/>
  <c r="BP71" i="1"/>
  <c r="BP73" i="1" s="1"/>
  <c r="BP75" i="1" s="1"/>
  <c r="H17" i="4"/>
  <c r="G11" i="6"/>
  <c r="G13" i="6" s="1"/>
  <c r="BQ46" i="1"/>
  <c r="BO75" i="1"/>
  <c r="BQ71" i="1" l="1"/>
  <c r="H7" i="4" s="1"/>
  <c r="G13" i="9" s="1"/>
  <c r="BQ73" i="1"/>
  <c r="BQ75" i="1"/>
  <c r="H11" i="4"/>
  <c r="BE21" i="1"/>
  <c r="BQ19" i="1"/>
  <c r="G8" i="6" s="1"/>
  <c r="G1" i="6" s="1"/>
  <c r="H8" i="4" l="1"/>
  <c r="G14" i="6"/>
  <c r="G17" i="6"/>
  <c r="H12" i="4"/>
  <c r="H15" i="4" s="1"/>
  <c r="H18" i="4" s="1"/>
  <c r="H21" i="4" s="1"/>
  <c r="G16" i="9"/>
  <c r="G17" i="9" s="1"/>
  <c r="G28" i="9" s="1"/>
  <c r="G7" i="9"/>
  <c r="BQ21" i="1"/>
  <c r="G18" i="6" l="1"/>
  <c r="G29" i="6" s="1"/>
  <c r="G20" i="9"/>
  <c r="G29" i="9" s="1"/>
  <c r="H22" i="4"/>
  <c r="H23" i="4" s="1"/>
  <c r="H24" i="4" s="1"/>
  <c r="G21" i="6" l="1"/>
  <c r="G30" i="6" s="1"/>
  <c r="G21" i="9"/>
  <c r="G22" i="9" s="1"/>
  <c r="G30" i="9" s="1"/>
  <c r="G22" i="6" l="1"/>
  <c r="G23" i="6" s="1"/>
  <c r="G31" i="9"/>
  <c r="G24" i="9"/>
  <c r="B34" i="9" s="1"/>
  <c r="G31" i="6"/>
  <c r="G25" i="6" l="1"/>
  <c r="B37" i="6" s="1"/>
  <c r="G32" i="6"/>
  <c r="B36" i="9"/>
  <c r="B35" i="6" l="1"/>
</calcChain>
</file>

<file path=xl/sharedStrings.xml><?xml version="1.0" encoding="utf-8"?>
<sst xmlns="http://schemas.openxmlformats.org/spreadsheetml/2006/main" count="315" uniqueCount="246">
  <si>
    <t>Item</t>
  </si>
  <si>
    <t>Fase</t>
  </si>
  <si>
    <t>Marketing: Marca e Imagen</t>
  </si>
  <si>
    <t>Contratación personal</t>
  </si>
  <si>
    <t>Gastos Administrativos (constitución empresa)</t>
  </si>
  <si>
    <t>Costos y Gastos de venta y representación</t>
  </si>
  <si>
    <t>Infraestructura (oficina)</t>
  </si>
  <si>
    <t>Total Activos</t>
  </si>
  <si>
    <t>Total Capital de trabajo</t>
  </si>
  <si>
    <t>Mes 1</t>
  </si>
  <si>
    <t xml:space="preserve">Mes 2 </t>
  </si>
  <si>
    <t>Mes 3</t>
  </si>
  <si>
    <t>Mes 4</t>
  </si>
  <si>
    <t>Mes 5</t>
  </si>
  <si>
    <t>Mes 6</t>
  </si>
  <si>
    <t>Año 2</t>
  </si>
  <si>
    <t>Año 3</t>
  </si>
  <si>
    <t>Año 4</t>
  </si>
  <si>
    <t>Año 5</t>
  </si>
  <si>
    <t>Inversión en Activos</t>
  </si>
  <si>
    <t>Costos y Gastos de Venta</t>
  </si>
  <si>
    <t>Total Costos y Gastos de Venta</t>
  </si>
  <si>
    <t>Costos y Gastos de administración</t>
  </si>
  <si>
    <t>Total Costos y Gastos de administración</t>
  </si>
  <si>
    <t>Desarollador web Senior</t>
  </si>
  <si>
    <t>Desarrollador Back Senior</t>
  </si>
  <si>
    <t>Arquitecto</t>
  </si>
  <si>
    <t>Diseñador</t>
  </si>
  <si>
    <t>Total</t>
  </si>
  <si>
    <t>Año 1</t>
  </si>
  <si>
    <t>Salario mes 1 a 3</t>
  </si>
  <si>
    <t>Dedicación mes 3 a 12</t>
  </si>
  <si>
    <t>Costo Mes 3 a 12</t>
  </si>
  <si>
    <t>Dedicación año 2</t>
  </si>
  <si>
    <t>Dedicación año 3</t>
  </si>
  <si>
    <t>Dedicación año 4</t>
  </si>
  <si>
    <t>Dedicación año 5</t>
  </si>
  <si>
    <t>IPC</t>
  </si>
  <si>
    <t>Equipo</t>
  </si>
  <si>
    <t>Equipo Tecnología</t>
  </si>
  <si>
    <t>Total Inversión Inicial</t>
  </si>
  <si>
    <t>Honorarios Gerente</t>
  </si>
  <si>
    <t>Honorarios Contador</t>
  </si>
  <si>
    <t>Honorarios legales</t>
  </si>
  <si>
    <t>Soporte Administrativo 1/2 tiempo</t>
  </si>
  <si>
    <t>Alquiler</t>
  </si>
  <si>
    <t>Servicios</t>
  </si>
  <si>
    <t>Publicidad</t>
  </si>
  <si>
    <t>Reuniones, logísticas, movilización</t>
  </si>
  <si>
    <t>Ingresos Totales</t>
  </si>
  <si>
    <t>Gastos de Administración</t>
  </si>
  <si>
    <t>Gastos de Ventas</t>
  </si>
  <si>
    <t>Utilidad operacional antes de depre. y amortizaciones</t>
  </si>
  <si>
    <t>Amortización</t>
  </si>
  <si>
    <t>Utilidad Operativa</t>
  </si>
  <si>
    <t>Ingresos no operacionales</t>
  </si>
  <si>
    <t>Gastos no operacionales</t>
  </si>
  <si>
    <t>Utilidad antes de intereses e impuestos</t>
  </si>
  <si>
    <t xml:space="preserve">Ingresos financieros </t>
  </si>
  <si>
    <t xml:space="preserve">Gastos financieros </t>
  </si>
  <si>
    <t>Utilidad antes de impuestos</t>
  </si>
  <si>
    <t>Total Impuestos</t>
  </si>
  <si>
    <t>Utilidad Neta</t>
  </si>
  <si>
    <t>Tabla 10 -Gastos de Implementación e inicio del negocio</t>
  </si>
  <si>
    <t>Costos Administrativos y Operativos</t>
  </si>
  <si>
    <t>Proyección de ingresos</t>
  </si>
  <si>
    <t>Operación</t>
  </si>
  <si>
    <t>Mes 7</t>
  </si>
  <si>
    <t>Mes 8</t>
  </si>
  <si>
    <t>Mes 9</t>
  </si>
  <si>
    <t>Mes 10</t>
  </si>
  <si>
    <t>Mes 11</t>
  </si>
  <si>
    <t>Mes 12</t>
  </si>
  <si>
    <t>Factura Promedio</t>
  </si>
  <si>
    <t>Ingreso Facturas negociadas 30 días</t>
  </si>
  <si>
    <t>Ingreso Facturas negociadas 60 días</t>
  </si>
  <si>
    <t>Ingreso Facturas negociadas 90 días</t>
  </si>
  <si>
    <t>Depreciación</t>
  </si>
  <si>
    <t>FLUJO DE FONDOS *</t>
  </si>
  <si>
    <t>Año 0</t>
  </si>
  <si>
    <t>Estado de Resultados</t>
  </si>
  <si>
    <t>Resultado operativo</t>
  </si>
  <si>
    <t>Resultado Bruto</t>
  </si>
  <si>
    <t>Resultado Neto</t>
  </si>
  <si>
    <t>CASH FLOW</t>
  </si>
  <si>
    <t>INDICADORES</t>
  </si>
  <si>
    <t>Margen Bruto</t>
  </si>
  <si>
    <t>EBITDA</t>
  </si>
  <si>
    <t>Margen Neto</t>
  </si>
  <si>
    <t>Rentabilidad del Patrimonio</t>
  </si>
  <si>
    <t>Indicadores de Rendimiento</t>
  </si>
  <si>
    <t xml:space="preserve"> </t>
  </si>
  <si>
    <t>TIR</t>
  </si>
  <si>
    <t>Tasa de Corte</t>
  </si>
  <si>
    <t>Valor Actual Neto</t>
  </si>
  <si>
    <t>variables</t>
  </si>
  <si>
    <t>Publicidad digital, content marketing</t>
  </si>
  <si>
    <t>Gastos de representación</t>
  </si>
  <si>
    <t>Logístia de eventos y talleres</t>
  </si>
  <si>
    <t>Facturas Negociadas</t>
  </si>
  <si>
    <t>Monto Facturas negociadas 30 dias</t>
  </si>
  <si>
    <t>Monto Facturas negociadas 60 dias</t>
  </si>
  <si>
    <t>Monto Facturas negociadas 90 dias</t>
  </si>
  <si>
    <t>a) Cronograma Técnico</t>
  </si>
  <si>
    <t>Inception ágil (alcance del proyecto)</t>
  </si>
  <si>
    <t>Sprint 1 - Comfiguración Arquitectura</t>
  </si>
  <si>
    <t>Sprint 2 - Funcionalidades de registro de clientes e inversionistas y envío de consultas</t>
  </si>
  <si>
    <t>Sprint 3 - Funcionalidades de registro, alta y validación de facturas</t>
  </si>
  <si>
    <t>Sprint 4 - Funcionalidades de Compra de Facturas</t>
  </si>
  <si>
    <t>Sprint 5 - Funaionalidades de consulta</t>
  </si>
  <si>
    <t>Sprint 6 - Lanzamiento MVP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</si>
  <si>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</si>
  <si>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</si>
  <si>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</si>
  <si>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</si>
  <si>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</si>
  <si>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</si>
  <si>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</si>
  <si>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</si>
  <si>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Sem 9</t>
  </si>
  <si>
    <t>Sem 10</t>
  </si>
  <si>
    <t>Sem 11</t>
  </si>
  <si>
    <t>Sem 12</t>
  </si>
  <si>
    <t>Sem 13</t>
  </si>
  <si>
    <t>Sem 14</t>
  </si>
  <si>
    <t>Sem 15</t>
  </si>
  <si>
    <t>Sem 16</t>
  </si>
  <si>
    <t>Sem 17</t>
  </si>
  <si>
    <t>Sem 18</t>
  </si>
  <si>
    <t>Sem 19</t>
  </si>
  <si>
    <t>b) Cronograma Operativo</t>
  </si>
  <si>
    <t>Constitución de la Empresa</t>
  </si>
  <si>
    <t>Diseño Marca e imagen cooporativa</t>
  </si>
  <si>
    <t>Diseño Página web</t>
  </si>
  <si>
    <t xml:space="preserve">Reuniones con cooperativas </t>
  </si>
  <si>
    <t>Reuniones con family offices y potenciales inversores</t>
  </si>
  <si>
    <t>Entrenamiento equipo</t>
  </si>
  <si>
    <t>Sem -1</t>
  </si>
  <si>
    <t>Sem -7</t>
  </si>
  <si>
    <t>Sem -6</t>
  </si>
  <si>
    <t>Sem -5</t>
  </si>
  <si>
    <t>Sem -4</t>
  </si>
  <si>
    <t>Sem -3</t>
  </si>
  <si>
    <t>Sem -2</t>
  </si>
  <si>
    <t>Sem -0</t>
  </si>
  <si>
    <t>Sem -16</t>
  </si>
  <si>
    <t>Sem -15</t>
  </si>
  <si>
    <t>Sem -14</t>
  </si>
  <si>
    <t>Sem -13</t>
  </si>
  <si>
    <t>Sem -12</t>
  </si>
  <si>
    <t>Sem -11</t>
  </si>
  <si>
    <t>Sem -10</t>
  </si>
  <si>
    <t>Sem -9</t>
  </si>
  <si>
    <t>Sem -8</t>
  </si>
  <si>
    <t>Impuestos</t>
  </si>
  <si>
    <t>clientes</t>
  </si>
  <si>
    <t>Customer Adquisition</t>
  </si>
  <si>
    <t>LTV</t>
  </si>
  <si>
    <t>Inversión crowdfunding</t>
  </si>
  <si>
    <t>Hosting</t>
  </si>
  <si>
    <t>Validaciones Crediticias (Sentinel)</t>
  </si>
  <si>
    <t>Cavali (costo por factura)</t>
  </si>
  <si>
    <t>Servicios (Cavali Sunat)</t>
  </si>
  <si>
    <t>Capital de trabajo  requerido</t>
  </si>
  <si>
    <t>Producción (Facturas Negociadas)</t>
  </si>
  <si>
    <t>Saldo Vigente Inicial</t>
  </si>
  <si>
    <t>Saldo Vigente Final</t>
  </si>
  <si>
    <t>Maduración</t>
  </si>
  <si>
    <t>Facturas negociadas 30 días</t>
  </si>
  <si>
    <t>Facturas negociadas 60 días</t>
  </si>
  <si>
    <t>Facturas negociadas 90 días</t>
  </si>
  <si>
    <t>Maduración Total</t>
  </si>
  <si>
    <t>Morosidad</t>
  </si>
  <si>
    <t>Gasto Financiero (inversores)</t>
  </si>
  <si>
    <t>Margen Financiero</t>
  </si>
  <si>
    <t>Implemenrtación del Sistema</t>
  </si>
  <si>
    <t>Margen Financiero Básico Neto</t>
  </si>
  <si>
    <t>Mes13</t>
  </si>
  <si>
    <t>Mes14</t>
  </si>
  <si>
    <t>Mes15</t>
  </si>
  <si>
    <t>Mes16</t>
  </si>
  <si>
    <t>Mes17</t>
  </si>
  <si>
    <t>Mes18</t>
  </si>
  <si>
    <t>Mes19</t>
  </si>
  <si>
    <t>Mes20</t>
  </si>
  <si>
    <t>Mes21</t>
  </si>
  <si>
    <t>Mes22</t>
  </si>
  <si>
    <t>Mes23</t>
  </si>
  <si>
    <t>Mes24</t>
  </si>
  <si>
    <t>Inversión total</t>
  </si>
  <si>
    <t>Mes25</t>
  </si>
  <si>
    <t>Mes26</t>
  </si>
  <si>
    <t>Mes27</t>
  </si>
  <si>
    <t>Mes28</t>
  </si>
  <si>
    <t>Mes29</t>
  </si>
  <si>
    <t>Mes30</t>
  </si>
  <si>
    <t>Mes31</t>
  </si>
  <si>
    <t>Mes32</t>
  </si>
  <si>
    <t>Mes33</t>
  </si>
  <si>
    <t>Mes34</t>
  </si>
  <si>
    <t>Mes35</t>
  </si>
  <si>
    <t>Mes36</t>
  </si>
  <si>
    <t>Mes37</t>
  </si>
  <si>
    <t>Mes38</t>
  </si>
  <si>
    <t>Mes39</t>
  </si>
  <si>
    <t>Mes40</t>
  </si>
  <si>
    <t>Mes41</t>
  </si>
  <si>
    <t>Mes42</t>
  </si>
  <si>
    <t>Mes43</t>
  </si>
  <si>
    <t>Mes44</t>
  </si>
  <si>
    <t>Mes45</t>
  </si>
  <si>
    <t>Mes46</t>
  </si>
  <si>
    <t>Mes47</t>
  </si>
  <si>
    <t>Mes48</t>
  </si>
  <si>
    <t>Mes49</t>
  </si>
  <si>
    <t>Mes50</t>
  </si>
  <si>
    <t>Mes51</t>
  </si>
  <si>
    <t>Mes52</t>
  </si>
  <si>
    <t>Mes53</t>
  </si>
  <si>
    <t>Mes54</t>
  </si>
  <si>
    <t>Mes55</t>
  </si>
  <si>
    <t>Mes56</t>
  </si>
  <si>
    <t>Mes57</t>
  </si>
  <si>
    <t>Mes58</t>
  </si>
  <si>
    <t>Mes59</t>
  </si>
  <si>
    <t>Mes60</t>
  </si>
  <si>
    <t>Capital inicial de trabajo</t>
  </si>
  <si>
    <t>Morosidad Cartera</t>
  </si>
  <si>
    <t>Impuesto de renta (30%)</t>
  </si>
  <si>
    <t>Comisiones</t>
  </si>
  <si>
    <t>Ingreso Financiero</t>
  </si>
  <si>
    <t>Ingreso  Facturas negociadas Real Total</t>
  </si>
  <si>
    <t>Ingresos Financieros Calculado Totales</t>
  </si>
  <si>
    <t>Margen Financiero Bruto</t>
  </si>
  <si>
    <t>Tasa de interés Anual</t>
  </si>
  <si>
    <t>Gasto Financiero ( tasa inversores)</t>
  </si>
  <si>
    <t xml:space="preserve">Gestión facturas </t>
  </si>
  <si>
    <t>Gestión de Facturas y Cobranzas</t>
  </si>
  <si>
    <t>Inversión Inicial</t>
  </si>
  <si>
    <t>Var en Capex</t>
  </si>
  <si>
    <t>Scrum Master</t>
  </si>
  <si>
    <t>En este caso considero los fondos de crowdsourcing, peero entonces no incluyo el costo financiero</t>
  </si>
  <si>
    <t>Marketing y Promoción</t>
  </si>
  <si>
    <t>Facturas Transaccionadas</t>
  </si>
  <si>
    <t>Total Costos Admisnitrativos y Ops.</t>
  </si>
  <si>
    <t>Resultado operativo (EBITDA)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</si>
</sst>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S/&quot;#,##0.00;[Red]\-&quot;S/&quot;#,##0.00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[$$-409]* #,##0.00_ ;_-[$$-409]* \-#,##0.00\ ;_-[$$-409]* &quot;-&quot;??_ ;_-@_ "/>
    <numFmt numFmtId="165" formatCode="_ &quot;$&quot;\ * #,##0_ ;_ &quot;$&quot;\ * \-#,##0_ ;_ &quot;$&quot;\ * &quot;-&quot;??_ ;_ @_ "/>
    <numFmt numFmtId="166" formatCode="_-* #,##0_-;\-* #,##0_-;_-* &quot;-&quot;??_-;_-@_-"/>
    <numFmt numFmtId="167" formatCode="_-[$$-409]* #,##0_ ;_-[$$-409]* \-#,##0\ ;_-[$$-409]* &quot;-&quot;??_ ;_-@_ "/>
    <numFmt numFmtId="168" formatCode="0.0%"/>
    <numFmt numFmtId="169" formatCode="_-* #,##0.000000_-;\-* #,##0.000000_-;_-* &quot;-&quot;??_-;_-@_-"/>
    <numFmt numFmtId="170" formatCode="[$$-409]#,##0.00"/>
    <numFmt numFmtId="171" formatCode="[$$-409]#,##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0" fillId="2" borderId="0" xfId="0" applyFill="1" applyBorder="1"/>
    <xf numFmtId="0" fontId="2" fillId="2" borderId="0" xfId="0" applyFont="1" applyFill="1" applyBorder="1"/>
    <xf numFmtId="9" fontId="0" fillId="0" borderId="0" xfId="0" applyNumberForma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64" fontId="0" fillId="2" borderId="0" xfId="0" applyNumberForma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9" fontId="0" fillId="0" borderId="0" xfId="1" applyFont="1"/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9" fontId="0" fillId="2" borderId="0" xfId="0" applyNumberFormat="1" applyFill="1"/>
    <xf numFmtId="0" fontId="0" fillId="0" borderId="0" xfId="0" applyAlignment="1">
      <alignment horizontal="center"/>
    </xf>
    <xf numFmtId="0" fontId="3" fillId="0" borderId="0" xfId="0" applyFont="1"/>
    <xf numFmtId="165" fontId="4" fillId="0" borderId="0" xfId="3" applyNumberFormat="1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Font="1"/>
    <xf numFmtId="10" fontId="0" fillId="0" borderId="0" xfId="0" applyNumberFormat="1"/>
    <xf numFmtId="10" fontId="5" fillId="0" borderId="0" xfId="0" applyNumberFormat="1" applyFont="1"/>
    <xf numFmtId="0" fontId="7" fillId="0" borderId="0" xfId="0" applyFont="1"/>
    <xf numFmtId="10" fontId="8" fillId="0" borderId="0" xfId="0" applyNumberFormat="1" applyFont="1"/>
    <xf numFmtId="3" fontId="7" fillId="0" borderId="0" xfId="0" applyNumberFormat="1" applyFont="1"/>
    <xf numFmtId="0" fontId="9" fillId="0" borderId="0" xfId="0" applyFont="1"/>
    <xf numFmtId="3" fontId="9" fillId="0" borderId="0" xfId="0" applyNumberFormat="1" applyFont="1"/>
    <xf numFmtId="0" fontId="9" fillId="3" borderId="0" xfId="0" applyFont="1" applyFill="1"/>
    <xf numFmtId="3" fontId="9" fillId="3" borderId="0" xfId="0" applyNumberFormat="1" applyFont="1" applyFill="1"/>
    <xf numFmtId="0" fontId="10" fillId="0" borderId="0" xfId="0" applyFont="1" applyBorder="1"/>
    <xf numFmtId="2" fontId="0" fillId="0" borderId="0" xfId="0" applyNumberFormat="1" applyBorder="1"/>
    <xf numFmtId="3" fontId="0" fillId="0" borderId="0" xfId="0" applyNumberFormat="1" applyBorder="1"/>
    <xf numFmtId="10" fontId="0" fillId="0" borderId="2" xfId="0" applyNumberFormat="1" applyFont="1" applyBorder="1"/>
    <xf numFmtId="0" fontId="6" fillId="4" borderId="3" xfId="0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1" xfId="0" applyFont="1" applyBorder="1"/>
    <xf numFmtId="0" fontId="6" fillId="4" borderId="4" xfId="0" applyFont="1" applyFill="1" applyBorder="1"/>
    <xf numFmtId="9" fontId="4" fillId="4" borderId="4" xfId="0" applyNumberFormat="1" applyFont="1" applyFill="1" applyBorder="1"/>
    <xf numFmtId="0" fontId="6" fillId="4" borderId="5" xfId="0" applyFont="1" applyFill="1" applyBorder="1"/>
    <xf numFmtId="0" fontId="6" fillId="5" borderId="0" xfId="0" applyFont="1" applyFill="1"/>
    <xf numFmtId="10" fontId="6" fillId="5" borderId="0" xfId="0" applyNumberFormat="1" applyFont="1" applyFill="1"/>
    <xf numFmtId="3" fontId="6" fillId="5" borderId="0" xfId="0" applyNumberFormat="1" applyFon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43" fontId="0" fillId="2" borderId="0" xfId="0" applyNumberFormat="1" applyFill="1" applyBorder="1"/>
    <xf numFmtId="166" fontId="0" fillId="2" borderId="0" xfId="2" applyNumberFormat="1" applyFont="1" applyFill="1" applyBorder="1"/>
    <xf numFmtId="0" fontId="2" fillId="7" borderId="0" xfId="0" applyFont="1" applyFill="1"/>
    <xf numFmtId="0" fontId="0" fillId="7" borderId="0" xfId="0" applyFill="1"/>
    <xf numFmtId="167" fontId="0" fillId="0" borderId="2" xfId="0" applyNumberFormat="1" applyFont="1" applyBorder="1"/>
    <xf numFmtId="9" fontId="4" fillId="4" borderId="4" xfId="1" applyFont="1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6" borderId="17" xfId="0" applyFill="1" applyBorder="1"/>
    <xf numFmtId="0" fontId="0" fillId="2" borderId="18" xfId="0" applyFill="1" applyBorder="1"/>
    <xf numFmtId="0" fontId="0" fillId="6" borderId="18" xfId="0" applyFill="1" applyBorder="1"/>
    <xf numFmtId="0" fontId="11" fillId="2" borderId="16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0" fillId="6" borderId="16" xfId="0" applyFill="1" applyBorder="1"/>
    <xf numFmtId="0" fontId="2" fillId="0" borderId="12" xfId="0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9" fontId="0" fillId="2" borderId="0" xfId="1" applyFont="1" applyFill="1" applyBorder="1"/>
    <xf numFmtId="43" fontId="0" fillId="2" borderId="0" xfId="2" applyFont="1" applyFill="1" applyBorder="1"/>
    <xf numFmtId="166" fontId="0" fillId="8" borderId="0" xfId="2" applyNumberFormat="1" applyFont="1" applyFill="1" applyBorder="1"/>
    <xf numFmtId="9" fontId="0" fillId="8" borderId="0" xfId="0" applyNumberFormat="1" applyFill="1" applyBorder="1"/>
    <xf numFmtId="169" fontId="0" fillId="2" borderId="0" xfId="2" applyNumberFormat="1" applyFont="1" applyFill="1" applyBorder="1"/>
    <xf numFmtId="0" fontId="0" fillId="9" borderId="0" xfId="0" applyFill="1" applyBorder="1"/>
    <xf numFmtId="164" fontId="0" fillId="9" borderId="0" xfId="0" applyNumberFormat="1" applyFill="1"/>
    <xf numFmtId="0" fontId="0" fillId="5" borderId="0" xfId="0" applyFont="1" applyFill="1" applyBorder="1"/>
    <xf numFmtId="164" fontId="2" fillId="5" borderId="0" xfId="0" applyNumberFormat="1" applyFont="1" applyFill="1"/>
    <xf numFmtId="164" fontId="0" fillId="0" borderId="0" xfId="0" applyNumberFormat="1" applyFill="1"/>
    <xf numFmtId="0" fontId="2" fillId="5" borderId="0" xfId="0" applyFont="1" applyFill="1" applyBorder="1"/>
    <xf numFmtId="164" fontId="2" fillId="5" borderId="0" xfId="0" applyNumberFormat="1" applyFont="1" applyFill="1" applyBorder="1"/>
    <xf numFmtId="164" fontId="2" fillId="10" borderId="0" xfId="0" applyNumberFormat="1" applyFont="1" applyFill="1"/>
    <xf numFmtId="164" fontId="0" fillId="0" borderId="0" xfId="0" applyNumberFormat="1" applyFont="1"/>
    <xf numFmtId="170" fontId="0" fillId="2" borderId="0" xfId="2" applyNumberFormat="1" applyFont="1" applyFill="1" applyBorder="1"/>
    <xf numFmtId="170" fontId="0" fillId="8" borderId="0" xfId="2" applyNumberFormat="1" applyFont="1" applyFill="1" applyBorder="1"/>
    <xf numFmtId="171" fontId="0" fillId="2" borderId="0" xfId="2" applyNumberFormat="1" applyFont="1" applyFill="1" applyBorder="1"/>
    <xf numFmtId="171" fontId="0" fillId="8" borderId="0" xfId="2" applyNumberFormat="1" applyFont="1" applyFill="1" applyBorder="1"/>
    <xf numFmtId="164" fontId="2" fillId="2" borderId="0" xfId="0" applyNumberFormat="1" applyFont="1" applyFill="1"/>
    <xf numFmtId="166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167" fontId="2" fillId="2" borderId="0" xfId="0" applyNumberFormat="1" applyFont="1" applyFill="1" applyBorder="1"/>
    <xf numFmtId="167" fontId="0" fillId="2" borderId="0" xfId="0" applyNumberFormat="1" applyFill="1"/>
    <xf numFmtId="167" fontId="2" fillId="7" borderId="0" xfId="0" applyNumberFormat="1" applyFont="1" applyFill="1"/>
    <xf numFmtId="167" fontId="0" fillId="7" borderId="0" xfId="0" applyNumberFormat="1" applyFill="1"/>
    <xf numFmtId="0" fontId="0" fillId="2" borderId="0" xfId="0" applyFill="1" applyAlignment="1">
      <alignment horizontal="left" indent="1"/>
    </xf>
    <xf numFmtId="167" fontId="0" fillId="2" borderId="0" xfId="0" applyNumberFormat="1" applyFont="1" applyFill="1" applyBorder="1"/>
    <xf numFmtId="10" fontId="4" fillId="0" borderId="0" xfId="3" applyNumberFormat="1" applyFont="1"/>
    <xf numFmtId="167" fontId="4" fillId="4" borderId="5" xfId="0" applyNumberFormat="1" applyFont="1" applyFill="1" applyBorder="1"/>
    <xf numFmtId="0" fontId="0" fillId="11" borderId="0" xfId="0" applyFill="1"/>
    <xf numFmtId="165" fontId="4" fillId="11" borderId="0" xfId="3" applyNumberFormat="1" applyFont="1" applyFill="1"/>
    <xf numFmtId="3" fontId="0" fillId="11" borderId="0" xfId="0" applyNumberFormat="1" applyFill="1"/>
    <xf numFmtId="3" fontId="7" fillId="11" borderId="0" xfId="0" applyNumberFormat="1" applyFont="1" applyFill="1"/>
    <xf numFmtId="0" fontId="0" fillId="11" borderId="0" xfId="0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0" xfId="0" applyFill="1" applyBorder="1"/>
    <xf numFmtId="168" fontId="0" fillId="8" borderId="23" xfId="1" applyNumberFormat="1" applyFont="1" applyFill="1" applyBorder="1"/>
    <xf numFmtId="0" fontId="0" fillId="2" borderId="21" xfId="0" applyFill="1" applyBorder="1"/>
    <xf numFmtId="164" fontId="0" fillId="8" borderId="24" xfId="0" applyNumberFormat="1" applyFill="1" applyBorder="1"/>
    <xf numFmtId="0" fontId="0" fillId="8" borderId="25" xfId="0" applyFill="1" applyBorder="1"/>
    <xf numFmtId="167" fontId="0" fillId="8" borderId="24" xfId="0" applyNumberFormat="1" applyFill="1" applyBorder="1"/>
    <xf numFmtId="10" fontId="0" fillId="8" borderId="22" xfId="0" applyNumberFormat="1" applyFill="1" applyBorder="1"/>
    <xf numFmtId="9" fontId="0" fillId="8" borderId="22" xfId="0" applyNumberFormat="1" applyFill="1" applyBorder="1"/>
    <xf numFmtId="0" fontId="0" fillId="2" borderId="8" xfId="0" applyFill="1" applyBorder="1"/>
    <xf numFmtId="9" fontId="0" fillId="8" borderId="6" xfId="0" applyNumberFormat="1" applyFill="1" applyBorder="1"/>
    <xf numFmtId="3" fontId="0" fillId="2" borderId="0" xfId="0" applyNumberFormat="1" applyFill="1"/>
    <xf numFmtId="0" fontId="0" fillId="12" borderId="0" xfId="0" applyFill="1"/>
    <xf numFmtId="10" fontId="4" fillId="12" borderId="0" xfId="3" applyNumberFormat="1" applyFont="1" applyFill="1"/>
    <xf numFmtId="1" fontId="4" fillId="12" borderId="0" xfId="3" applyNumberFormat="1" applyFont="1" applyFill="1"/>
    <xf numFmtId="43" fontId="0" fillId="2" borderId="0" xfId="0" applyNumberFormat="1" applyFill="1"/>
    <xf numFmtId="0" fontId="0" fillId="0" borderId="0" xfId="0" applyFill="1" applyAlignment="1">
      <alignment horizontal="center" wrapText="1"/>
    </xf>
    <xf numFmtId="8" fontId="0" fillId="2" borderId="0" xfId="0" applyNumberFormat="1" applyFill="1" applyBorder="1"/>
    <xf numFmtId="168" fontId="0" fillId="8" borderId="26" xfId="1" applyNumberFormat="1" applyFont="1" applyFill="1" applyBorder="1"/>
    <xf numFmtId="168" fontId="0" fillId="8" borderId="19" xfId="1" applyNumberFormat="1" applyFont="1" applyFill="1" applyBorder="1"/>
  </cellXfs>
  <cellStyles count="4">
    <cellStyle name="Millares" xfId="2" builtinId="3"/>
    <cellStyle name="Moneda" xfId="3" builtinId="4"/>
    <cellStyle name="Normal" xfId="0" builtinId="0"/>
    <cellStyle name="Porcentaje" xfId="1" builtinId="5"/>
  </cellStyles>
  <dxfs count="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3" formatCode="0%"/>
      <fill>
        <patternFill patternType="solid">
          <fgColor indexed="64"/>
          <bgColor indexed="9"/>
        </patternFill>
      </fill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22"/>
        </top>
        <bottom style="thin">
          <color indexed="22"/>
        </bottom>
      </border>
    </dxf>
    <dxf>
      <border outline="0">
        <top style="thin">
          <color indexed="22"/>
        </top>
      </border>
    </dxf>
    <dxf>
      <border outline="0">
        <bottom style="thin">
          <color indexed="22"/>
        </bottom>
      </border>
    </dxf>
    <dxf>
      <border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numFmt numFmtId="164" formatCode="_-[$$-409]* #,##0.00_ ;_-[$$-409]* \-#,##0.00\ ;_-[$$-409]* &quot;-&quot;??_ ;_-@_ "/>
    </dxf>
    <dxf>
      <numFmt numFmtId="13" formatCode="0%"/>
    </dxf>
    <dxf>
      <numFmt numFmtId="164" formatCode="_-[$$-409]* #,##0.00_ ;_-[$$-409]* \-#,##0.00\ ;_-[$$-409]* &quot;-&quot;??_ ;_-@_ "/>
    </dxf>
    <dxf>
      <numFmt numFmtId="13" formatCode="0%"/>
    </dxf>
    <dxf>
      <numFmt numFmtId="164" formatCode="_-[$$-409]* #,##0.00_ ;_-[$$-409]* \-#,##0.00\ ;_-[$$-409]* &quot;-&quot;??_ ;_-@_ "/>
    </dxf>
    <dxf>
      <numFmt numFmtId="13" formatCode="0%"/>
    </dxf>
    <dxf>
      <numFmt numFmtId="164" formatCode="_-[$$-409]* #,##0.00_ ;_-[$$-409]* \-#,##0.00\ ;_-[$$-409]* &quot;-&quot;??_ ;_-@_ "/>
    </dxf>
    <dxf>
      <numFmt numFmtId="13" formatCode="0%"/>
    </dxf>
    <dxf>
      <numFmt numFmtId="164" formatCode="_-[$$-409]* #,##0.00_ ;_-[$$-409]* \-#,##0.00\ ;_-[$$-409]* &quot;-&quot;??_ ;_-@_ "/>
    </dxf>
    <dxf>
      <numFmt numFmtId="13" formatCode="0%"/>
    </dxf>
    <dxf>
      <numFmt numFmtId="164" formatCode="_-[$$-409]* #,##0.00_ ;_-[$$-409]* \-#,##0.00\ ;_-[$$-409]* &quot;-&quot;??_ ;_-@_ 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</dxf>
    <dxf>
      <numFmt numFmtId="164" formatCode="_-[$$-409]* #,##0.00_ ;_-[$$-409]* \-#,##0.00\ ;_-[$$-409]* &quot;-&quot;??_ ;_-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_-[$$-409]* #,##0.00_ ;_-[$$-409]* \-#,##0.00\ ;_-[$$-409]* &quot;-&quot;??_ ;_-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_-[$$-409]* #,##0.00_ ;_-[$$-409]* \-#,##0.00\ ;_-[$$-409]* &quot;-&quot;??_ ;_-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_-[$$-409]* #,##0.00_ ;_-[$$-409]* \-#,##0.00\ ;_-[$$-409]* &quot;-&quot;??_ ;_-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_-[$$-409]* #,##0.00_ ;_-[$$-409]* \-#,##0.00\ ;_-[$$-409]* &quot;-&quot;??_ ;_-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164" formatCode="_-[$$-409]* #,##0.00_ ;_-[$$-409]* \-#,##0.00\ ;_-[$$-409]* &quot;-&quot;??_ ;_-@_ "/>
    </dxf>
    <dxf>
      <numFmt numFmtId="13" formatCode="0%"/>
    </dxf>
    <dxf>
      <numFmt numFmtId="164" formatCode="_-[$$-409]* #,##0.00_ ;_-[$$-409]* \-#,##0.00\ ;_-[$$-409]* &quot;-&quot;??_ ;_-@_ "/>
    </dxf>
    <dxf>
      <numFmt numFmtId="13" formatCode="0%"/>
    </dxf>
    <dxf>
      <numFmt numFmtId="164" formatCode="_-[$$-409]* #,##0.00_ ;_-[$$-409]* \-#,##0.00\ ;_-[$$-409]* &quot;-&quot;??_ ;_-@_ "/>
    </dxf>
    <dxf>
      <numFmt numFmtId="13" formatCode="0%"/>
    </dxf>
    <dxf>
      <numFmt numFmtId="164" formatCode="_-[$$-409]* #,##0.00_ ;_-[$$-409]* \-#,##0.00\ ;_-[$$-409]* &quot;-&quot;??_ ;_-@_ "/>
    </dxf>
    <dxf>
      <numFmt numFmtId="13" formatCode="0%"/>
    </dxf>
    <dxf>
      <numFmt numFmtId="164" formatCode="_-[$$-409]* #,##0.00_ ;_-[$$-409]* \-#,##0.00\ ;_-[$$-409]* &quot;-&quot;??_ ;_-@_ "/>
    </dxf>
    <dxf>
      <numFmt numFmtId="13" formatCode="0%"/>
    </dxf>
    <dxf>
      <numFmt numFmtId="164" formatCode="_-[$$-409]* #,##0.00_ ;_-[$$-409]* \-#,##0.00\ ;_-[$$-409]* &quot;-&quot;??_ ;_-@_ 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3" formatCode="0%"/>
      <fill>
        <patternFill patternType="solid">
          <fgColor indexed="64"/>
          <bgColor indexed="9"/>
        </patternFill>
      </fill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22"/>
        </top>
        <bottom style="thin">
          <color indexed="22"/>
        </bottom>
      </border>
    </dxf>
    <dxf>
      <border outline="0">
        <top style="thin">
          <color rgb="FFC0C0C0"/>
        </top>
      </border>
    </dxf>
    <dxf>
      <border outline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 outline="0">
        <bottom style="thin">
          <color rgb="FFC0C0C0"/>
        </bottom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4" formatCode="0.00%"/>
    </dxf>
    <dxf>
      <alignment horizontal="center" vertical="bottom" textRotation="0" wrapText="0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4" formatCode="0.00%"/>
    </dxf>
    <dxf>
      <alignment horizontal="center" vertical="bottom" textRotation="0" wrapText="0" indent="0" justifyLastLine="0" shrinkToFit="0" readingOrder="0"/>
    </dxf>
    <dxf>
      <numFmt numFmtId="167" formatCode="_-[$$-409]* #,##0_ ;_-[$$-409]* \-#,##0\ ;_-[$$-409]* &quot;-&quot;??_ ;_-@_ "/>
      <fill>
        <patternFill patternType="solid">
          <fgColor indexed="64"/>
          <bgColor theme="0"/>
        </patternFill>
      </fill>
    </dxf>
    <dxf>
      <numFmt numFmtId="167" formatCode="_-[$$-409]* #,##0_ ;_-[$$-409]* \-#,##0\ ;_-[$$-409]* &quot;-&quot;??_ ;_-@_ "/>
      <fill>
        <patternFill patternType="solid">
          <fgColor indexed="64"/>
          <bgColor theme="0"/>
        </patternFill>
      </fill>
    </dxf>
    <dxf>
      <numFmt numFmtId="167" formatCode="_-[$$-409]* #,##0_ ;_-[$$-409]* \-#,##0\ ;_-[$$-409]* &quot;-&quot;??_ ;_-@_ "/>
      <fill>
        <patternFill patternType="solid">
          <fgColor indexed="64"/>
          <bgColor theme="0"/>
        </patternFill>
      </fill>
    </dxf>
    <dxf>
      <numFmt numFmtId="167" formatCode="_-[$$-409]* #,##0_ ;_-[$$-409]* \-#,##0\ ;_-[$$-409]* &quot;-&quot;??_ ;_-@_ "/>
      <fill>
        <patternFill patternType="solid">
          <fgColor indexed="64"/>
          <bgColor theme="0"/>
        </patternFill>
      </fill>
    </dxf>
    <dxf>
      <numFmt numFmtId="167" formatCode="_-[$$-409]* #,##0_ ;_-[$$-409]* \-#,##0\ ;_-[$$-409]* &quot;-&quot;??_ ;_-@_ 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A561BDE-BA51-AA4A-AA0A-669FB74F3D51}" name="Tabla7" displayName="Tabla7" ref="B5:H24" totalsRowShown="0" headerRowDxfId="79" dataDxfId="78">
  <autoFilter ref="B5:H24" xr:uid="{E34A6949-04AE-874D-8EB7-5A51FDA0184B}"/>
  <tableColumns count="7">
    <tableColumn id="1" xr3:uid="{E6C06283-E165-CB43-AE77-A9B1397CCC64}" name="Item" dataDxfId="77"/>
    <tableColumn id="2" xr3:uid="{FA8AEE31-B3A2-854C-BD91-8DEE741B4BB6}" name="variables" dataDxfId="76"/>
    <tableColumn id="3" xr3:uid="{C0A26E54-AB94-E94D-AD14-1E9D340F776F}" name="Año 1" dataDxfId="75"/>
    <tableColumn id="4" xr3:uid="{0BA4F6B3-8C5D-D449-9059-779274624D1C}" name="Año 2" dataDxfId="74"/>
    <tableColumn id="5" xr3:uid="{51A70AF5-B9AE-1F42-89E4-07FF93719E7A}" name="Año 3" dataDxfId="73"/>
    <tableColumn id="6" xr3:uid="{8F3DCAEF-7660-7046-BBD0-61208C655F40}" name="Año 4" dataDxfId="72"/>
    <tableColumn id="7" xr3:uid="{51BFC92E-9255-4C4F-A357-2B37EF91122F}" name="Año 5" dataDxfId="7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4CE8D1-2A84-F347-84CD-28E2D3CC85A0}" name="Table3158" displayName="Table3158" ref="A3:G26" totalsRowShown="0" headerRowDxfId="70">
  <tableColumns count="7">
    <tableColumn id="1" xr3:uid="{262DC7C3-B5B1-4941-A35D-038F5941AFAC}" name="FLUJO DE FONDOS *"/>
    <tableColumn id="2" xr3:uid="{E20047F1-8593-B84B-91B8-75D82119A276}" name="Año 0" dataDxfId="69"/>
    <tableColumn id="3" xr3:uid="{A6D0528C-A850-A44F-919D-D03D7EDD6890}" name="Año 1" dataDxfId="68"/>
    <tableColumn id="4" xr3:uid="{FF2FE3AC-C798-4341-AC83-2421A5B8E4F4}" name="Año 2" dataDxfId="67"/>
    <tableColumn id="5" xr3:uid="{B49B93C1-635A-1445-9590-63BF62A352D7}" name="Año 3" dataDxfId="66"/>
    <tableColumn id="6" xr3:uid="{E501F610-B268-ED4B-BBF8-7923D0AF91C8}" name="Año 4" dataDxfId="65"/>
    <tableColumn id="7" xr3:uid="{686F2221-EE23-5A43-8FF6-9A5CD8ADB682}" name="Año 5" dataDxfId="6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955F2B8-326B-F644-9F7F-887727EA4890}" name="Table9160" displayName="Table9160" ref="A34:B37" totalsRowShown="0" dataDxfId="5" headerRowBorderDxfId="3" tableBorderDxfId="4" totalsRowBorderDxfId="2">
  <tableColumns count="2">
    <tableColumn id="1" xr3:uid="{F0BF2D4A-B10E-9943-8AB7-64EEA49237B6}" name="Indicadores de Rendimiento" dataDxfId="1"/>
    <tableColumn id="2" xr3:uid="{3F29F0DC-C516-A640-8603-BDE01DE55743}" name=" " dataDxfId="0">
      <calculatedColumnFormula>+NPV(B34,C23:G23)+B23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5CFF662-165F-B447-B684-D6F192FA60CA}" name="Table29162" displayName="Table29162" ref="A28:G32" totalsRowShown="0">
  <tableColumns count="7">
    <tableColumn id="1" xr3:uid="{F69B91D3-D700-DD46-A86A-C78084E0C1A0}" name="INDICADORES" dataDxfId="63"/>
    <tableColumn id="2" xr3:uid="{55DCE453-7E88-FE4F-9A07-5A14ABD4FAF3}" name="Año 0"/>
    <tableColumn id="3" xr3:uid="{EB631CE3-D7FB-F047-BD7E-B0109B4F8709}" name="Año 1" dataDxfId="62">
      <calculatedColumnFormula>+#REF!/-$B$25</calculatedColumnFormula>
    </tableColumn>
    <tableColumn id="4" xr3:uid="{DF4D3831-F5D4-224E-8346-099452C1DBD7}" name="Año 2" dataDxfId="61">
      <calculatedColumnFormula>+#REF!/-$B$25</calculatedColumnFormula>
    </tableColumn>
    <tableColumn id="5" xr3:uid="{348A4B2C-BA4C-1140-AF3F-79E5122BDA36}" name="Año 3" dataDxfId="60">
      <calculatedColumnFormula>+#REF!/-$B$25</calculatedColumnFormula>
    </tableColumn>
    <tableColumn id="6" xr3:uid="{59649853-2667-674A-B66E-23EF34B8C202}" name="Año 4" dataDxfId="59">
      <calculatedColumnFormula>+#REF!/-$B$25</calculatedColumnFormula>
    </tableColumn>
    <tableColumn id="7" xr3:uid="{CB9297F0-067A-714A-BD99-BA75E95CAF73}" name="Año 5" dataDxfId="58">
      <calculatedColumnFormula>+#REF!/-$B$25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86227D4-5F64-9149-8D9E-0C803074EBD1}" name="Table31585" displayName="Table31585" ref="A2:G25" totalsRowShown="0" headerRowDxfId="57">
  <tableColumns count="7">
    <tableColumn id="1" xr3:uid="{9FEE3F09-4AF1-7C45-AFDA-8C456E367C70}" name="FLUJO DE FONDOS *"/>
    <tableColumn id="2" xr3:uid="{A7E1415A-BD76-FE49-962D-BBD656A4CE9D}" name="Año 0" dataDxfId="56"/>
    <tableColumn id="3" xr3:uid="{CC870793-C435-434E-9296-1592674980D7}" name="Año 1" dataDxfId="55"/>
    <tableColumn id="4" xr3:uid="{5E2B4858-7552-1B40-9D28-91AC1C841525}" name="Año 2" dataDxfId="54"/>
    <tableColumn id="5" xr3:uid="{EAC433CA-025D-1B48-8CDD-12E8DFAB8C46}" name="Año 3" dataDxfId="53"/>
    <tableColumn id="6" xr3:uid="{257C6D31-4FAE-254A-A76D-964BD9F8CDF8}" name="Año 4" dataDxfId="52"/>
    <tableColumn id="7" xr3:uid="{25DC609F-E579-474A-BAFC-890AD8092F7D}" name="Año 5" dataDxfId="51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3D38110-CAF0-A844-8834-07FC99C94F7A}" name="Table91607" displayName="Table91607" ref="A33:B36" totalsRowShown="0" dataDxfId="49" headerRowBorderDxfId="50" tableBorderDxfId="48" totalsRowBorderDxfId="47">
  <tableColumns count="2">
    <tableColumn id="1" xr3:uid="{608819FE-F54D-1E40-B399-AF1A89A5B0EF}" name="Indicadores de Rendimiento" dataDxfId="46"/>
    <tableColumn id="2" xr3:uid="{813BFF77-2F94-024B-8C72-9EAD57974F26}" name=" " dataDxfId="45">
      <calculatedColumnFormula>+NPV(B33,C22:G22)+B22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27B3FE1-3ABB-564B-8897-12D6E38ED672}" name="Table2916210" displayName="Table2916210" ref="A27:G31" totalsRowShown="0">
  <tableColumns count="7">
    <tableColumn id="1" xr3:uid="{1623A5B3-9A3B-5742-B792-A31EFAE8CD37}" name="INDICADORES" dataDxfId="44"/>
    <tableColumn id="2" xr3:uid="{8D908C47-B38D-2740-9F54-AEEED501FE31}" name="Año 0"/>
    <tableColumn id="3" xr3:uid="{F075D6EB-0C87-FB4E-8E71-CACED4677F23}" name="Año 1" dataDxfId="43">
      <calculatedColumnFormula>+#REF!/-$B$24</calculatedColumnFormula>
    </tableColumn>
    <tableColumn id="4" xr3:uid="{2E679FBE-5B6A-3043-8796-FEF30F90A819}" name="Año 2" dataDxfId="42">
      <calculatedColumnFormula>+#REF!/-$B$24</calculatedColumnFormula>
    </tableColumn>
    <tableColumn id="5" xr3:uid="{576F02FE-4C1D-4743-A949-44CEA2CCC70D}" name="Año 3" dataDxfId="41">
      <calculatedColumnFormula>+#REF!/-$B$24</calculatedColumnFormula>
    </tableColumn>
    <tableColumn id="6" xr3:uid="{44A84CAD-B205-9B42-A9B1-7A6E6209830E}" name="Año 4" dataDxfId="40">
      <calculatedColumnFormula>+#REF!/-$B$24</calculatedColumnFormula>
    </tableColumn>
    <tableColumn id="7" xr3:uid="{B6DC99E7-BA92-E046-A278-1EE032388A54}" name="Año 5" dataDxfId="39">
      <calculatedColumnFormula>+#REF!/-$B$24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C04794-2F19-B649-8C8D-9087606636AC}" name="Tabla1" displayName="Tabla1" ref="B3:M10" totalsRowCount="1" headerRowDxfId="18">
  <autoFilter ref="B3:M9" xr:uid="{C801E307-479C-2742-9BF7-DBBAF7523A68}"/>
  <tableColumns count="12">
    <tableColumn id="1" xr3:uid="{A11B0579-08B5-0347-ABEE-6387492F790B}" name="Equipo"/>
    <tableColumn id="2" xr3:uid="{84960FB0-99A1-C944-BA0E-B36EAE0A2F33}" name="Salario mes 1 a 3" totalsRowFunction="custom" dataDxfId="38" totalsRowDxfId="16">
      <totalsRowFormula>+C9*3</totalsRowFormula>
    </tableColumn>
    <tableColumn id="3" xr3:uid="{C21D41CE-9663-BA4E-B83A-44219D88AE83}" name="Dedicación mes 3 a 12" dataDxfId="37" totalsRowDxfId="15"/>
    <tableColumn id="4" xr3:uid="{27C6A3AA-439C-9C47-85AC-6A44755E2998}" name="Costo Mes 3 a 12" totalsRowFunction="custom" dataDxfId="36" totalsRowDxfId="14">
      <totalsRowFormula>+E9*12</totalsRowFormula>
    </tableColumn>
    <tableColumn id="5" xr3:uid="{08764777-069B-1D4B-AA30-C739EBECCA73}" name="Dedicación año 2" dataDxfId="35" totalsRowDxfId="13"/>
    <tableColumn id="6" xr3:uid="{AA3E27DF-F6CF-564E-886A-BAE9D5887E7F}" name="Año 2" totalsRowFunction="custom" dataDxfId="34" totalsRowDxfId="12">
      <totalsRowFormula>+G9*12</totalsRowFormula>
    </tableColumn>
    <tableColumn id="7" xr3:uid="{2BFA08BE-846B-B44E-8CC2-4E97A31EEE87}" name="Dedicación año 3" dataDxfId="33" totalsRowDxfId="11"/>
    <tableColumn id="8" xr3:uid="{C586F4AA-622E-E94D-8DE9-BBEC57A4E2F5}" name="Año 3" totalsRowFunction="custom" dataDxfId="32" totalsRowDxfId="10">
      <totalsRowFormula>+I9*12</totalsRowFormula>
    </tableColumn>
    <tableColumn id="9" xr3:uid="{551BEBF6-EF40-994D-AB24-43D5CEBAED5A}" name="Dedicación año 4" dataDxfId="31" totalsRowDxfId="9"/>
    <tableColumn id="10" xr3:uid="{434FCDEE-CEA4-4141-A8D4-7860F3159281}" name="Año 4" totalsRowFunction="custom" dataDxfId="30" totalsRowDxfId="8">
      <totalsRowFormula>+K9*12</totalsRowFormula>
    </tableColumn>
    <tableColumn id="11" xr3:uid="{2C2A679F-A4B5-0E4B-8007-051CA0502EBC}" name="Dedicación año 5" dataDxfId="29" totalsRowDxfId="7"/>
    <tableColumn id="12" xr3:uid="{F2563102-EAE2-2942-BB08-E86094DC1F61}" name="Año 5" totalsRowFunction="custom" dataDxfId="28" totalsRowDxfId="6">
      <totalsRowFormula>+M9*12</totalsRow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A4A14DC-4644-B842-8B68-2A913F2A5125}" name="Tabla19" displayName="Tabla19" ref="B4:G8" totalsRowShown="0" headerRowDxfId="17" headerRowBorderDxfId="27" tableBorderDxfId="26" totalsRowBorderDxfId="25">
  <autoFilter ref="B4:G8" xr:uid="{70704A6F-D961-0A4C-BDCD-7B6B964DA3FF}"/>
  <tableColumns count="6">
    <tableColumn id="1" xr3:uid="{7F9F90F3-EED4-474D-9411-C66F5587EEF3}" name="Marketing y Promoción" dataDxfId="24"/>
    <tableColumn id="2" xr3:uid="{066D31A1-5D62-B045-89B7-3DD9A6B10CF1}" name="Año 1" dataDxfId="23"/>
    <tableColumn id="3" xr3:uid="{4D4EC415-20AF-BF44-B873-A902E637FF08}" name="Año 2" dataDxfId="22"/>
    <tableColumn id="4" xr3:uid="{3E7C55A8-5598-DC4A-B8CE-2FE147DEB6FE}" name="Año 3" dataDxfId="21"/>
    <tableColumn id="5" xr3:uid="{3E19B5EC-9288-E744-8506-7825D2AB3299}" name="Año 4" dataDxfId="20"/>
    <tableColumn id="6" xr3:uid="{9709506C-8AB5-2F4F-98FD-D12F219BFBB0}" name="Año 5" dataDxfId="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8E143-F684-8447-86BA-58B4E91DEFB3}">
  <dimension ref="B1:BV91"/>
  <sheetViews>
    <sheetView tabSelected="1" zoomScaleNormal="100" workbookViewId="0">
      <pane xSplit="3" ySplit="5" topLeftCell="P22" activePane="bottomRight" state="frozen"/>
      <selection pane="topRight" activeCell="D1" sqref="D1"/>
      <selection pane="bottomLeft" activeCell="A6" sqref="A6"/>
      <selection pane="bottomRight" activeCell="BR30" sqref="BR30"/>
    </sheetView>
  </sheetViews>
  <sheetFormatPr baseColWidth="10" defaultRowHeight="16" outlineLevelRow="3" outlineLevelCol="1" x14ac:dyDescent="0.2"/>
  <cols>
    <col min="1" max="1" width="4.83203125" style="1" customWidth="1"/>
    <col min="2" max="2" width="13.1640625" style="1" customWidth="1"/>
    <col min="3" max="3" width="41.6640625" style="1" customWidth="1"/>
    <col min="4" max="5" width="13.5" style="1" hidden="1" customWidth="1" outlineLevel="1"/>
    <col min="6" max="6" width="16.33203125" style="1" hidden="1" customWidth="1" outlineLevel="1"/>
    <col min="7" max="15" width="13.5" style="1" hidden="1" customWidth="1" outlineLevel="1"/>
    <col min="16" max="16" width="15.33203125" style="1" customWidth="1" collapsed="1"/>
    <col min="17" max="17" width="2" style="1" hidden="1" customWidth="1"/>
    <col min="18" max="29" width="12.6640625" style="1" hidden="1" customWidth="1" outlineLevel="1"/>
    <col min="30" max="30" width="15.1640625" style="1" bestFit="1" customWidth="1" collapsed="1"/>
    <col min="31" max="42" width="15.1640625" style="1" hidden="1" customWidth="1" outlineLevel="1"/>
    <col min="43" max="43" width="15.1640625" style="1" bestFit="1" customWidth="1" collapsed="1"/>
    <col min="44" max="55" width="15.1640625" style="1" hidden="1" customWidth="1" outlineLevel="1"/>
    <col min="56" max="56" width="16.33203125" style="1" bestFit="1" customWidth="1" collapsed="1"/>
    <col min="57" max="68" width="16.33203125" style="1" hidden="1" customWidth="1" outlineLevel="1"/>
    <col min="69" max="69" width="16.33203125" style="1" bestFit="1" customWidth="1" collapsed="1"/>
    <col min="70" max="70" width="17.5" style="1" customWidth="1"/>
    <col min="71" max="16384" width="10.83203125" style="1"/>
  </cols>
  <sheetData>
    <row r="1" spans="2:70" ht="4" customHeight="1" x14ac:dyDescent="0.2"/>
    <row r="2" spans="2:70" x14ac:dyDescent="0.2">
      <c r="B2" s="87">
        <v>1.1000000000000001</v>
      </c>
    </row>
    <row r="3" spans="2:70" x14ac:dyDescent="0.2">
      <c r="B3" s="1" t="s">
        <v>63</v>
      </c>
      <c r="P3" s="48"/>
    </row>
    <row r="5" spans="2:70" ht="25" customHeight="1" x14ac:dyDescent="0.2">
      <c r="B5" s="2" t="s">
        <v>1</v>
      </c>
      <c r="C5" s="2" t="s">
        <v>0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67</v>
      </c>
      <c r="K5" s="9" t="s">
        <v>68</v>
      </c>
      <c r="L5" s="9" t="s">
        <v>69</v>
      </c>
      <c r="M5" s="9" t="s">
        <v>70</v>
      </c>
      <c r="N5" s="9" t="s">
        <v>71</v>
      </c>
      <c r="O5" s="9" t="s">
        <v>72</v>
      </c>
      <c r="P5" s="9" t="s">
        <v>29</v>
      </c>
      <c r="Q5" s="9"/>
      <c r="R5" s="9" t="s">
        <v>177</v>
      </c>
      <c r="S5" s="9" t="s">
        <v>178</v>
      </c>
      <c r="T5" s="9" t="s">
        <v>179</v>
      </c>
      <c r="U5" s="9" t="s">
        <v>180</v>
      </c>
      <c r="V5" s="9" t="s">
        <v>181</v>
      </c>
      <c r="W5" s="9" t="s">
        <v>182</v>
      </c>
      <c r="X5" s="9" t="s">
        <v>183</v>
      </c>
      <c r="Y5" s="9" t="s">
        <v>184</v>
      </c>
      <c r="Z5" s="9" t="s">
        <v>185</v>
      </c>
      <c r="AA5" s="9" t="s">
        <v>186</v>
      </c>
      <c r="AB5" s="9" t="s">
        <v>187</v>
      </c>
      <c r="AC5" s="9" t="s">
        <v>188</v>
      </c>
      <c r="AD5" s="9" t="s">
        <v>15</v>
      </c>
      <c r="AE5" s="9" t="s">
        <v>190</v>
      </c>
      <c r="AF5" s="9" t="s">
        <v>191</v>
      </c>
      <c r="AG5" s="9" t="s">
        <v>192</v>
      </c>
      <c r="AH5" s="9" t="s">
        <v>193</v>
      </c>
      <c r="AI5" s="9" t="s">
        <v>194</v>
      </c>
      <c r="AJ5" s="9" t="s">
        <v>195</v>
      </c>
      <c r="AK5" s="9" t="s">
        <v>196</v>
      </c>
      <c r="AL5" s="9" t="s">
        <v>197</v>
      </c>
      <c r="AM5" s="9" t="s">
        <v>198</v>
      </c>
      <c r="AN5" s="9" t="s">
        <v>199</v>
      </c>
      <c r="AO5" s="9" t="s">
        <v>200</v>
      </c>
      <c r="AP5" s="9" t="s">
        <v>201</v>
      </c>
      <c r="AQ5" s="9" t="s">
        <v>16</v>
      </c>
      <c r="AR5" s="9" t="s">
        <v>202</v>
      </c>
      <c r="AS5" s="9" t="s">
        <v>203</v>
      </c>
      <c r="AT5" s="9" t="s">
        <v>204</v>
      </c>
      <c r="AU5" s="9" t="s">
        <v>205</v>
      </c>
      <c r="AV5" s="9" t="s">
        <v>206</v>
      </c>
      <c r="AW5" s="9" t="s">
        <v>207</v>
      </c>
      <c r="AX5" s="9" t="s">
        <v>208</v>
      </c>
      <c r="AY5" s="9" t="s">
        <v>209</v>
      </c>
      <c r="AZ5" s="9" t="s">
        <v>210</v>
      </c>
      <c r="BA5" s="9" t="s">
        <v>211</v>
      </c>
      <c r="BB5" s="9" t="s">
        <v>212</v>
      </c>
      <c r="BC5" s="9" t="s">
        <v>213</v>
      </c>
      <c r="BD5" s="9" t="s">
        <v>17</v>
      </c>
      <c r="BE5" s="9" t="s">
        <v>214</v>
      </c>
      <c r="BF5" s="9" t="s">
        <v>215</v>
      </c>
      <c r="BG5" s="9" t="s">
        <v>216</v>
      </c>
      <c r="BH5" s="9" t="s">
        <v>217</v>
      </c>
      <c r="BI5" s="9" t="s">
        <v>218</v>
      </c>
      <c r="BJ5" s="9" t="s">
        <v>219</v>
      </c>
      <c r="BK5" s="9" t="s">
        <v>220</v>
      </c>
      <c r="BL5" s="9" t="s">
        <v>221</v>
      </c>
      <c r="BM5" s="9" t="s">
        <v>222</v>
      </c>
      <c r="BN5" s="9" t="s">
        <v>223</v>
      </c>
      <c r="BO5" s="9" t="s">
        <v>224</v>
      </c>
      <c r="BP5" s="9" t="s">
        <v>225</v>
      </c>
      <c r="BQ5" s="9" t="s">
        <v>18</v>
      </c>
      <c r="BR5" s="9" t="s">
        <v>28</v>
      </c>
    </row>
    <row r="6" spans="2:70" hidden="1" outlineLevel="3" x14ac:dyDescent="0.2">
      <c r="B6" s="1" t="s">
        <v>19</v>
      </c>
    </row>
    <row r="7" spans="2:70" hidden="1" outlineLevel="3" x14ac:dyDescent="0.2">
      <c r="C7" s="1" t="s">
        <v>175</v>
      </c>
      <c r="D7" s="4">
        <f>+'Equipo Tecnología'!C9</f>
        <v>5350</v>
      </c>
      <c r="E7" s="4">
        <f>+D7</f>
        <v>5350</v>
      </c>
      <c r="F7" s="4">
        <f>+E7</f>
        <v>5350</v>
      </c>
      <c r="G7" s="4">
        <f>+'Equipo Tecnología'!E9</f>
        <v>3110</v>
      </c>
      <c r="H7" s="4">
        <f>+G7</f>
        <v>3110</v>
      </c>
      <c r="I7" s="4">
        <f>+H7</f>
        <v>3110</v>
      </c>
      <c r="J7" s="4">
        <f>+I7</f>
        <v>3110</v>
      </c>
      <c r="K7" s="4">
        <f t="shared" ref="K7:O7" si="0">+J7</f>
        <v>3110</v>
      </c>
      <c r="L7" s="4">
        <f t="shared" si="0"/>
        <v>3110</v>
      </c>
      <c r="M7" s="4">
        <f t="shared" si="0"/>
        <v>3110</v>
      </c>
      <c r="N7" s="4">
        <f t="shared" si="0"/>
        <v>3110</v>
      </c>
      <c r="O7" s="4">
        <f t="shared" si="0"/>
        <v>3110</v>
      </c>
      <c r="P7" s="4">
        <f>+SUM(D7:O7)</f>
        <v>44040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>
        <f t="shared" ref="AD7:AD8" si="1">+SUM(AD5:AD6)</f>
        <v>0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7"/>
    </row>
    <row r="8" spans="2:70" hidden="1" outlineLevel="3" x14ac:dyDescent="0.2">
      <c r="C8" s="1" t="s">
        <v>6</v>
      </c>
      <c r="D8" s="4">
        <v>3000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>+SUM(D8:O8)</f>
        <v>3000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>
        <f t="shared" si="1"/>
        <v>0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7"/>
    </row>
    <row r="9" spans="2:70" hidden="1" outlineLevel="3" x14ac:dyDescent="0.2">
      <c r="C9" s="2" t="s">
        <v>7</v>
      </c>
      <c r="D9" s="4">
        <f t="shared" ref="D9:O9" si="2">+SUM(D7:D8)</f>
        <v>8350</v>
      </c>
      <c r="E9" s="4">
        <f t="shared" si="2"/>
        <v>5350</v>
      </c>
      <c r="F9" s="4">
        <f t="shared" si="2"/>
        <v>5350</v>
      </c>
      <c r="G9" s="4">
        <f t="shared" si="2"/>
        <v>3110</v>
      </c>
      <c r="H9" s="4">
        <f t="shared" si="2"/>
        <v>3110</v>
      </c>
      <c r="I9" s="4">
        <f t="shared" si="2"/>
        <v>3110</v>
      </c>
      <c r="J9" s="4">
        <f t="shared" si="2"/>
        <v>3110</v>
      </c>
      <c r="K9" s="4">
        <f t="shared" si="2"/>
        <v>3110</v>
      </c>
      <c r="L9" s="4">
        <f t="shared" si="2"/>
        <v>3110</v>
      </c>
      <c r="M9" s="4">
        <f t="shared" si="2"/>
        <v>3110</v>
      </c>
      <c r="N9" s="4">
        <f t="shared" si="2"/>
        <v>3110</v>
      </c>
      <c r="O9" s="4">
        <f t="shared" si="2"/>
        <v>3110</v>
      </c>
      <c r="P9" s="4">
        <f>+SUM(D9:O9)</f>
        <v>47040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>
        <f>+SUM(AD7:AD8)</f>
        <v>0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>
        <f>+SUM(AQ7:AQ8)</f>
        <v>0</v>
      </c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>
        <f>+SUM(BD7:BD8)</f>
        <v>0</v>
      </c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>
        <f>+SUM(BQ7:BQ8)</f>
        <v>0</v>
      </c>
      <c r="BR9" s="7"/>
    </row>
    <row r="10" spans="2:70" hidden="1" outlineLevel="3" x14ac:dyDescent="0.2">
      <c r="B10" s="1" t="s">
        <v>64</v>
      </c>
      <c r="AD10" s="4"/>
    </row>
    <row r="11" spans="2:70" hidden="1" outlineLevel="3" x14ac:dyDescent="0.2">
      <c r="C11" s="1" t="s">
        <v>4</v>
      </c>
      <c r="D11" s="4">
        <v>5000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>+SUM(D11:O11)</f>
        <v>5000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>
        <f>+SUM(AD9:AD10)</f>
        <v>0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7"/>
    </row>
    <row r="12" spans="2:70" hidden="1" outlineLevel="3" x14ac:dyDescent="0.2">
      <c r="C12" s="1" t="s">
        <v>2</v>
      </c>
      <c r="D12" s="4">
        <v>2500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>+SUM(D12:O12)</f>
        <v>2500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>
        <f>+SUM(AD10:AD11)</f>
        <v>0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7"/>
    </row>
    <row r="13" spans="2:70" hidden="1" outlineLevel="3" x14ac:dyDescent="0.2">
      <c r="C13" s="1" t="s">
        <v>3</v>
      </c>
      <c r="D13" s="4">
        <v>750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>+SUM(D13:O13)</f>
        <v>750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>
        <f>+SUM(AD11:AD12)</f>
        <v>0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7"/>
    </row>
    <row r="14" spans="2:70" hidden="1" outlineLevel="3" x14ac:dyDescent="0.2">
      <c r="C14" s="2" t="s">
        <v>244</v>
      </c>
      <c r="D14" s="4">
        <f>+SUM(D11:D13)</f>
        <v>8250</v>
      </c>
      <c r="E14" s="4">
        <f t="shared" ref="E14:BD14" si="3">+SUM(E11:E13)</f>
        <v>0</v>
      </c>
      <c r="F14" s="4">
        <f t="shared" si="3"/>
        <v>0</v>
      </c>
      <c r="G14" s="4">
        <f t="shared" si="3"/>
        <v>0</v>
      </c>
      <c r="H14" s="4">
        <f t="shared" si="3"/>
        <v>0</v>
      </c>
      <c r="I14" s="4">
        <f t="shared" si="3"/>
        <v>0</v>
      </c>
      <c r="J14" s="4">
        <f t="shared" ref="J14:O14" si="4">+SUM(J11:J13)</f>
        <v>0</v>
      </c>
      <c r="K14" s="4">
        <f t="shared" si="4"/>
        <v>0</v>
      </c>
      <c r="L14" s="4">
        <f t="shared" si="4"/>
        <v>0</v>
      </c>
      <c r="M14" s="4">
        <f t="shared" si="4"/>
        <v>0</v>
      </c>
      <c r="N14" s="4">
        <f t="shared" si="4"/>
        <v>0</v>
      </c>
      <c r="O14" s="4">
        <f t="shared" si="4"/>
        <v>0</v>
      </c>
      <c r="P14" s="4">
        <f>+SUM(D14:O14)</f>
        <v>8250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>
        <f t="shared" si="3"/>
        <v>0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>
        <f t="shared" si="3"/>
        <v>0</v>
      </c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>
        <f t="shared" si="3"/>
        <v>0</v>
      </c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>
        <f>+SUM(BQ11:BQ13)</f>
        <v>0</v>
      </c>
      <c r="BR14" s="7"/>
    </row>
    <row r="15" spans="2:70" hidden="1" outlineLevel="3" x14ac:dyDescent="0.2">
      <c r="B15" s="1" t="s">
        <v>163</v>
      </c>
    </row>
    <row r="16" spans="2:70" hidden="1" outlineLevel="3" x14ac:dyDescent="0.2">
      <c r="C16" s="1" t="s">
        <v>22</v>
      </c>
      <c r="D16" s="4">
        <v>1000</v>
      </c>
      <c r="E16" s="4">
        <v>1000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>+SUM(D16:O16)</f>
        <v>2000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>
        <f t="shared" ref="AD16" si="5">+SUM(AD13:AD15)</f>
        <v>0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7"/>
    </row>
    <row r="17" spans="2:70" hidden="1" outlineLevel="3" x14ac:dyDescent="0.2">
      <c r="C17" s="1" t="s">
        <v>5</v>
      </c>
      <c r="D17" s="4">
        <v>500</v>
      </c>
      <c r="E17" s="4">
        <f>+D17</f>
        <v>500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>+SUM(D17:O17)</f>
        <v>1000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>
        <f t="shared" ref="AD17" si="6">+SUM(AD14:AD16)</f>
        <v>0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7"/>
    </row>
    <row r="18" spans="2:70" hidden="1" outlineLevel="3" x14ac:dyDescent="0.2">
      <c r="C18" s="1" t="s">
        <v>226</v>
      </c>
      <c r="D18" s="4">
        <v>300000</v>
      </c>
      <c r="E18" s="4"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>+SUM(D18:O18)</f>
        <v>300000</v>
      </c>
      <c r="Q18" s="4"/>
      <c r="R18" s="4">
        <f>+AD18</f>
        <v>304169.61283031409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f>+AD44-P44</f>
        <v>304169.61283031409</v>
      </c>
      <c r="AE18" s="4">
        <f>+AQ18</f>
        <v>180929.75862333272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f>+AQ44-AD44</f>
        <v>180929.75862333272</v>
      </c>
      <c r="AR18" s="4">
        <f>+BD18</f>
        <v>236193.06615709583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f>+BD44-AQ44</f>
        <v>236193.06615709583</v>
      </c>
      <c r="BE18" s="4">
        <f>+BQ18</f>
        <v>306537.2202717918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f>+BM44-BD44</f>
        <v>306537.2202717918</v>
      </c>
      <c r="BR18" s="7"/>
    </row>
    <row r="19" spans="2:70" hidden="1" outlineLevel="3" x14ac:dyDescent="0.2">
      <c r="C19" s="2" t="s">
        <v>8</v>
      </c>
      <c r="D19" s="4">
        <f>+SUM(D16:D18)</f>
        <v>301500</v>
      </c>
      <c r="E19" s="4">
        <f>+SUM(E16:E18)</f>
        <v>1500</v>
      </c>
      <c r="F19" s="4">
        <f t="shared" ref="F19:BQ19" si="7">+SUM(F16:F18)</f>
        <v>0</v>
      </c>
      <c r="G19" s="4">
        <f t="shared" si="7"/>
        <v>0</v>
      </c>
      <c r="H19" s="4">
        <f t="shared" si="7"/>
        <v>0</v>
      </c>
      <c r="I19" s="4">
        <f t="shared" si="7"/>
        <v>0</v>
      </c>
      <c r="J19" s="4">
        <f t="shared" ref="J19:O19" si="8">+SUM(J16:J18)</f>
        <v>0</v>
      </c>
      <c r="K19" s="4">
        <f t="shared" si="8"/>
        <v>0</v>
      </c>
      <c r="L19" s="4">
        <f t="shared" si="8"/>
        <v>0</v>
      </c>
      <c r="M19" s="4">
        <f t="shared" si="8"/>
        <v>0</v>
      </c>
      <c r="N19" s="4">
        <f t="shared" si="8"/>
        <v>0</v>
      </c>
      <c r="O19" s="4">
        <f t="shared" si="8"/>
        <v>0</v>
      </c>
      <c r="P19" s="4">
        <f>+SUM(D19:O19)</f>
        <v>303000</v>
      </c>
      <c r="Q19" s="4"/>
      <c r="R19" s="4">
        <f t="shared" si="7"/>
        <v>304169.61283031409</v>
      </c>
      <c r="S19" s="4">
        <f t="shared" si="7"/>
        <v>0</v>
      </c>
      <c r="T19" s="4">
        <f t="shared" si="7"/>
        <v>0</v>
      </c>
      <c r="U19" s="4">
        <f t="shared" si="7"/>
        <v>0</v>
      </c>
      <c r="V19" s="4">
        <f t="shared" si="7"/>
        <v>0</v>
      </c>
      <c r="W19" s="4">
        <f t="shared" si="7"/>
        <v>0</v>
      </c>
      <c r="X19" s="4">
        <f t="shared" si="7"/>
        <v>0</v>
      </c>
      <c r="Y19" s="4">
        <f t="shared" si="7"/>
        <v>0</v>
      </c>
      <c r="Z19" s="4">
        <f t="shared" si="7"/>
        <v>0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>+SUM(AD16:AD18)</f>
        <v>304169.61283031409</v>
      </c>
      <c r="AE19" s="4">
        <f t="shared" ref="AE19:AP19" si="9">+SUM(AE16:AE18)</f>
        <v>180929.75862333272</v>
      </c>
      <c r="AF19" s="4">
        <f t="shared" si="9"/>
        <v>0</v>
      </c>
      <c r="AG19" s="4">
        <f t="shared" si="9"/>
        <v>0</v>
      </c>
      <c r="AH19" s="4">
        <f t="shared" si="9"/>
        <v>0</v>
      </c>
      <c r="AI19" s="4">
        <f t="shared" si="9"/>
        <v>0</v>
      </c>
      <c r="AJ19" s="4">
        <f t="shared" si="9"/>
        <v>0</v>
      </c>
      <c r="AK19" s="4">
        <f t="shared" si="9"/>
        <v>0</v>
      </c>
      <c r="AL19" s="4">
        <f t="shared" si="9"/>
        <v>0</v>
      </c>
      <c r="AM19" s="4">
        <f t="shared" si="9"/>
        <v>0</v>
      </c>
      <c r="AN19" s="4">
        <f t="shared" si="9"/>
        <v>0</v>
      </c>
      <c r="AO19" s="4">
        <f t="shared" si="9"/>
        <v>0</v>
      </c>
      <c r="AP19" s="4">
        <f t="shared" si="9"/>
        <v>0</v>
      </c>
      <c r="AQ19" s="4">
        <f t="shared" si="7"/>
        <v>180929.75862333272</v>
      </c>
      <c r="AR19" s="4">
        <f t="shared" si="7"/>
        <v>236193.06615709583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4">
        <f t="shared" si="7"/>
        <v>0</v>
      </c>
      <c r="BB19" s="4">
        <f t="shared" si="7"/>
        <v>0</v>
      </c>
      <c r="BC19" s="4">
        <f t="shared" si="7"/>
        <v>0</v>
      </c>
      <c r="BD19" s="4">
        <f t="shared" si="7"/>
        <v>236193.06615709583</v>
      </c>
      <c r="BE19" s="4">
        <f>+SUM(BE16:BE18)</f>
        <v>306537.2202717918</v>
      </c>
      <c r="BF19" s="4">
        <f t="shared" ref="BF19:BP19" si="10">+SUM(BF16:BF18)</f>
        <v>0</v>
      </c>
      <c r="BG19" s="4">
        <f t="shared" si="10"/>
        <v>0</v>
      </c>
      <c r="BH19" s="4">
        <f t="shared" si="10"/>
        <v>0</v>
      </c>
      <c r="BI19" s="4">
        <f t="shared" si="10"/>
        <v>0</v>
      </c>
      <c r="BJ19" s="4">
        <f t="shared" si="10"/>
        <v>0</v>
      </c>
      <c r="BK19" s="4">
        <f t="shared" si="10"/>
        <v>0</v>
      </c>
      <c r="BL19" s="4">
        <f t="shared" si="10"/>
        <v>0</v>
      </c>
      <c r="BM19" s="4">
        <f t="shared" si="10"/>
        <v>0</v>
      </c>
      <c r="BN19" s="4">
        <f t="shared" si="10"/>
        <v>0</v>
      </c>
      <c r="BO19" s="4">
        <f t="shared" si="10"/>
        <v>0</v>
      </c>
      <c r="BP19" s="4">
        <f t="shared" si="10"/>
        <v>0</v>
      </c>
      <c r="BQ19" s="4">
        <f t="shared" si="7"/>
        <v>306537.2202717918</v>
      </c>
      <c r="BR19" s="7"/>
    </row>
    <row r="20" spans="2:70" hidden="1" outlineLevel="3" x14ac:dyDescent="0.2">
      <c r="C20" s="2"/>
    </row>
    <row r="21" spans="2:70" hidden="1" outlineLevel="3" x14ac:dyDescent="0.2">
      <c r="B21" s="2" t="s">
        <v>40</v>
      </c>
      <c r="C21" s="2"/>
      <c r="D21" s="6">
        <f>+D19+D14+D9</f>
        <v>318100</v>
      </c>
      <c r="E21" s="6">
        <f t="shared" ref="E21:BQ21" si="11">+E19+E14+E9</f>
        <v>6850</v>
      </c>
      <c r="F21" s="6">
        <f t="shared" si="11"/>
        <v>5350</v>
      </c>
      <c r="G21" s="6">
        <f t="shared" si="11"/>
        <v>3110</v>
      </c>
      <c r="H21" s="6">
        <f t="shared" si="11"/>
        <v>3110</v>
      </c>
      <c r="I21" s="6">
        <f t="shared" si="11"/>
        <v>3110</v>
      </c>
      <c r="J21" s="6">
        <f t="shared" ref="J21:O21" si="12">+J19+J14+J9</f>
        <v>3110</v>
      </c>
      <c r="K21" s="6">
        <f t="shared" si="12"/>
        <v>3110</v>
      </c>
      <c r="L21" s="6">
        <f t="shared" si="12"/>
        <v>3110</v>
      </c>
      <c r="M21" s="6">
        <f t="shared" si="12"/>
        <v>3110</v>
      </c>
      <c r="N21" s="6">
        <f t="shared" si="12"/>
        <v>3110</v>
      </c>
      <c r="O21" s="6">
        <f t="shared" si="12"/>
        <v>3110</v>
      </c>
      <c r="P21" s="6">
        <f t="shared" si="11"/>
        <v>358290</v>
      </c>
      <c r="Q21" s="6"/>
      <c r="R21" s="6">
        <f t="shared" si="11"/>
        <v>304169.61283031409</v>
      </c>
      <c r="S21" s="6">
        <f t="shared" si="11"/>
        <v>0</v>
      </c>
      <c r="T21" s="6">
        <f t="shared" si="11"/>
        <v>0</v>
      </c>
      <c r="U21" s="6">
        <f t="shared" si="11"/>
        <v>0</v>
      </c>
      <c r="V21" s="6">
        <f t="shared" si="11"/>
        <v>0</v>
      </c>
      <c r="W21" s="6">
        <f t="shared" si="11"/>
        <v>0</v>
      </c>
      <c r="X21" s="6">
        <f t="shared" si="11"/>
        <v>0</v>
      </c>
      <c r="Y21" s="6">
        <f t="shared" si="11"/>
        <v>0</v>
      </c>
      <c r="Z21" s="6">
        <f t="shared" si="11"/>
        <v>0</v>
      </c>
      <c r="AA21" s="6">
        <f t="shared" si="11"/>
        <v>0</v>
      </c>
      <c r="AB21" s="6">
        <f t="shared" si="11"/>
        <v>0</v>
      </c>
      <c r="AC21" s="6">
        <f t="shared" si="11"/>
        <v>0</v>
      </c>
      <c r="AD21" s="6">
        <f>+AD19+AD14+AD9</f>
        <v>304169.61283031409</v>
      </c>
      <c r="AE21" s="6">
        <f t="shared" ref="AE21:AP21" si="13">+AE19+AE14+AE9</f>
        <v>180929.75862333272</v>
      </c>
      <c r="AF21" s="6">
        <f t="shared" si="13"/>
        <v>0</v>
      </c>
      <c r="AG21" s="6">
        <f t="shared" si="13"/>
        <v>0</v>
      </c>
      <c r="AH21" s="6">
        <f t="shared" si="13"/>
        <v>0</v>
      </c>
      <c r="AI21" s="6">
        <f t="shared" si="13"/>
        <v>0</v>
      </c>
      <c r="AJ21" s="6">
        <f t="shared" si="13"/>
        <v>0</v>
      </c>
      <c r="AK21" s="6">
        <f t="shared" si="13"/>
        <v>0</v>
      </c>
      <c r="AL21" s="6">
        <f t="shared" si="13"/>
        <v>0</v>
      </c>
      <c r="AM21" s="6">
        <f t="shared" si="13"/>
        <v>0</v>
      </c>
      <c r="AN21" s="6">
        <f t="shared" si="13"/>
        <v>0</v>
      </c>
      <c r="AO21" s="6">
        <f t="shared" si="13"/>
        <v>0</v>
      </c>
      <c r="AP21" s="6">
        <f t="shared" si="13"/>
        <v>0</v>
      </c>
      <c r="AQ21" s="6">
        <f t="shared" si="11"/>
        <v>180929.75862333272</v>
      </c>
      <c r="AR21" s="6">
        <f t="shared" si="11"/>
        <v>236193.06615709583</v>
      </c>
      <c r="AS21" s="6">
        <f t="shared" si="11"/>
        <v>0</v>
      </c>
      <c r="AT21" s="6">
        <f t="shared" si="11"/>
        <v>0</v>
      </c>
      <c r="AU21" s="6">
        <f t="shared" si="11"/>
        <v>0</v>
      </c>
      <c r="AV21" s="6">
        <f t="shared" si="11"/>
        <v>0</v>
      </c>
      <c r="AW21" s="6">
        <f t="shared" si="11"/>
        <v>0</v>
      </c>
      <c r="AX21" s="6">
        <f t="shared" si="11"/>
        <v>0</v>
      </c>
      <c r="AY21" s="6">
        <f t="shared" si="11"/>
        <v>0</v>
      </c>
      <c r="AZ21" s="6">
        <f t="shared" si="11"/>
        <v>0</v>
      </c>
      <c r="BA21" s="6">
        <f t="shared" si="11"/>
        <v>0</v>
      </c>
      <c r="BB21" s="6">
        <f t="shared" si="11"/>
        <v>0</v>
      </c>
      <c r="BC21" s="6">
        <f t="shared" si="11"/>
        <v>0</v>
      </c>
      <c r="BD21" s="6">
        <f t="shared" si="11"/>
        <v>236193.06615709583</v>
      </c>
      <c r="BE21" s="6">
        <f t="shared" ref="BE21:BP21" si="14">+BE19+BE14+BE9</f>
        <v>306537.2202717918</v>
      </c>
      <c r="BF21" s="6">
        <f t="shared" si="14"/>
        <v>0</v>
      </c>
      <c r="BG21" s="6">
        <f t="shared" si="14"/>
        <v>0</v>
      </c>
      <c r="BH21" s="6">
        <f t="shared" si="14"/>
        <v>0</v>
      </c>
      <c r="BI21" s="6">
        <f t="shared" si="14"/>
        <v>0</v>
      </c>
      <c r="BJ21" s="6">
        <f t="shared" si="14"/>
        <v>0</v>
      </c>
      <c r="BK21" s="6">
        <f t="shared" si="14"/>
        <v>0</v>
      </c>
      <c r="BL21" s="6">
        <f t="shared" si="14"/>
        <v>0</v>
      </c>
      <c r="BM21" s="6">
        <f t="shared" si="14"/>
        <v>0</v>
      </c>
      <c r="BN21" s="6">
        <f t="shared" si="14"/>
        <v>0</v>
      </c>
      <c r="BO21" s="6">
        <f t="shared" si="14"/>
        <v>0</v>
      </c>
      <c r="BP21" s="6">
        <f t="shared" si="14"/>
        <v>0</v>
      </c>
      <c r="BQ21" s="6">
        <f t="shared" si="11"/>
        <v>306537.2202717918</v>
      </c>
      <c r="BR21" s="8"/>
    </row>
    <row r="22" spans="2:70" outlineLevel="2" collapsed="1" x14ac:dyDescent="0.2">
      <c r="B22" s="2" t="s">
        <v>66</v>
      </c>
      <c r="C22" s="2"/>
    </row>
    <row r="23" spans="2:70" outlineLevel="2" x14ac:dyDescent="0.2">
      <c r="B23" s="1" t="s">
        <v>22</v>
      </c>
    </row>
    <row r="24" spans="2:70" outlineLevel="2" x14ac:dyDescent="0.2">
      <c r="C24" s="1" t="s">
        <v>39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ref="P24:P31" si="15">+SUM(D24:O24)</f>
        <v>0</v>
      </c>
      <c r="Q24" s="4"/>
      <c r="R24" s="4">
        <f>+$AD24/12</f>
        <v>3369.6</v>
      </c>
      <c r="S24" s="4">
        <f t="shared" ref="S24:AC24" si="16">+$AD24/12</f>
        <v>3369.6</v>
      </c>
      <c r="T24" s="4">
        <f t="shared" si="16"/>
        <v>3369.6</v>
      </c>
      <c r="U24" s="4">
        <f t="shared" si="16"/>
        <v>3369.6</v>
      </c>
      <c r="V24" s="4">
        <f t="shared" si="16"/>
        <v>3369.6</v>
      </c>
      <c r="W24" s="4">
        <f t="shared" si="16"/>
        <v>3369.6</v>
      </c>
      <c r="X24" s="4">
        <f t="shared" si="16"/>
        <v>3369.6</v>
      </c>
      <c r="Y24" s="4">
        <f t="shared" si="16"/>
        <v>3369.6</v>
      </c>
      <c r="Z24" s="4">
        <f t="shared" si="16"/>
        <v>3369.6</v>
      </c>
      <c r="AA24" s="4">
        <f t="shared" si="16"/>
        <v>3369.6</v>
      </c>
      <c r="AB24" s="4">
        <f t="shared" si="16"/>
        <v>3369.6</v>
      </c>
      <c r="AC24" s="4">
        <f t="shared" si="16"/>
        <v>3369.6</v>
      </c>
      <c r="AD24" s="4">
        <f>+'Equipo Tecnología'!G9*12</f>
        <v>40435.199999999997</v>
      </c>
      <c r="AE24" s="4">
        <f t="shared" ref="AE24:AE29" si="17">+$AQ24/12</f>
        <v>3569.28</v>
      </c>
      <c r="AF24" s="4">
        <f t="shared" ref="AF24:AP24" si="18">+$AQ24/12</f>
        <v>3569.28</v>
      </c>
      <c r="AG24" s="4">
        <f t="shared" si="18"/>
        <v>3569.28</v>
      </c>
      <c r="AH24" s="4">
        <f t="shared" si="18"/>
        <v>3569.28</v>
      </c>
      <c r="AI24" s="4">
        <f t="shared" si="18"/>
        <v>3569.28</v>
      </c>
      <c r="AJ24" s="4">
        <f t="shared" si="18"/>
        <v>3569.28</v>
      </c>
      <c r="AK24" s="4">
        <f t="shared" si="18"/>
        <v>3569.28</v>
      </c>
      <c r="AL24" s="4">
        <f t="shared" si="18"/>
        <v>3569.28</v>
      </c>
      <c r="AM24" s="4">
        <f t="shared" si="18"/>
        <v>3569.28</v>
      </c>
      <c r="AN24" s="4">
        <f t="shared" si="18"/>
        <v>3569.28</v>
      </c>
      <c r="AO24" s="4">
        <f t="shared" si="18"/>
        <v>3569.28</v>
      </c>
      <c r="AP24" s="4">
        <f t="shared" si="18"/>
        <v>3569.28</v>
      </c>
      <c r="AQ24" s="4">
        <f>+'Equipo Tecnología'!I9*12</f>
        <v>42831.360000000001</v>
      </c>
      <c r="AR24" s="4">
        <f t="shared" ref="AR24:AR29" si="19">+$AQ24/12</f>
        <v>3569.28</v>
      </c>
      <c r="AS24" s="4">
        <f t="shared" ref="AS24:BC29" si="20">+$AQ24/12</f>
        <v>3569.28</v>
      </c>
      <c r="AT24" s="4">
        <f t="shared" si="20"/>
        <v>3569.28</v>
      </c>
      <c r="AU24" s="4">
        <f t="shared" si="20"/>
        <v>3569.28</v>
      </c>
      <c r="AV24" s="4">
        <f t="shared" si="20"/>
        <v>3569.28</v>
      </c>
      <c r="AW24" s="4">
        <f t="shared" si="20"/>
        <v>3569.28</v>
      </c>
      <c r="AX24" s="4">
        <f t="shared" si="20"/>
        <v>3569.28</v>
      </c>
      <c r="AY24" s="4">
        <f t="shared" si="20"/>
        <v>3569.28</v>
      </c>
      <c r="AZ24" s="4">
        <f t="shared" si="20"/>
        <v>3569.28</v>
      </c>
      <c r="BA24" s="4">
        <f t="shared" si="20"/>
        <v>3569.28</v>
      </c>
      <c r="BB24" s="4">
        <f t="shared" si="20"/>
        <v>3569.28</v>
      </c>
      <c r="BC24" s="4">
        <f t="shared" si="20"/>
        <v>3569.28</v>
      </c>
      <c r="BD24" s="4">
        <f>+'Equipo Tecnología'!K9*12</f>
        <v>44544.614399999999</v>
      </c>
      <c r="BE24" s="4">
        <f t="shared" ref="BE24:BE29" si="21">+$AQ24/12</f>
        <v>3569.28</v>
      </c>
      <c r="BF24" s="4">
        <f t="shared" ref="BF24:BP29" si="22">+$AQ24/12</f>
        <v>3569.28</v>
      </c>
      <c r="BG24" s="4">
        <f t="shared" si="22"/>
        <v>3569.28</v>
      </c>
      <c r="BH24" s="4">
        <f t="shared" si="22"/>
        <v>3569.28</v>
      </c>
      <c r="BI24" s="4">
        <f t="shared" si="22"/>
        <v>3569.28</v>
      </c>
      <c r="BJ24" s="4">
        <f t="shared" si="22"/>
        <v>3569.28</v>
      </c>
      <c r="BK24" s="4">
        <f t="shared" si="22"/>
        <v>3569.28</v>
      </c>
      <c r="BL24" s="4">
        <f t="shared" si="22"/>
        <v>3569.28</v>
      </c>
      <c r="BM24" s="4">
        <f t="shared" si="22"/>
        <v>3569.28</v>
      </c>
      <c r="BN24" s="4">
        <f t="shared" si="22"/>
        <v>3569.28</v>
      </c>
      <c r="BO24" s="4">
        <f t="shared" si="22"/>
        <v>3569.28</v>
      </c>
      <c r="BP24" s="4">
        <f t="shared" si="22"/>
        <v>3569.28</v>
      </c>
      <c r="BQ24" s="4">
        <f>+'Equipo Tecnología'!M9*12</f>
        <v>46326.398976000011</v>
      </c>
      <c r="BR24" s="7"/>
    </row>
    <row r="25" spans="2:70" outlineLevel="2" x14ac:dyDescent="0.2">
      <c r="C25" s="1" t="s">
        <v>159</v>
      </c>
      <c r="D25" s="4">
        <v>0</v>
      </c>
      <c r="E25" s="4">
        <v>200</v>
      </c>
      <c r="F25" s="4">
        <v>200</v>
      </c>
      <c r="G25" s="4">
        <v>200</v>
      </c>
      <c r="H25" s="4">
        <v>300</v>
      </c>
      <c r="I25" s="4">
        <v>300</v>
      </c>
      <c r="J25" s="4">
        <v>500</v>
      </c>
      <c r="K25" s="4">
        <v>500</v>
      </c>
      <c r="L25" s="4">
        <v>500</v>
      </c>
      <c r="M25" s="4">
        <v>500</v>
      </c>
      <c r="N25" s="4">
        <v>500</v>
      </c>
      <c r="O25" s="4">
        <v>500</v>
      </c>
      <c r="P25" s="4">
        <f t="shared" si="15"/>
        <v>4200</v>
      </c>
      <c r="Q25" s="4"/>
      <c r="R25" s="4">
        <f t="shared" ref="R25:AC31" si="23">+$AD25/12</f>
        <v>600</v>
      </c>
      <c r="S25" s="4">
        <f t="shared" si="23"/>
        <v>600</v>
      </c>
      <c r="T25" s="4">
        <f t="shared" si="23"/>
        <v>600</v>
      </c>
      <c r="U25" s="4">
        <f t="shared" si="23"/>
        <v>600</v>
      </c>
      <c r="V25" s="4">
        <f t="shared" si="23"/>
        <v>600</v>
      </c>
      <c r="W25" s="4">
        <f t="shared" si="23"/>
        <v>600</v>
      </c>
      <c r="X25" s="4">
        <f t="shared" si="23"/>
        <v>600</v>
      </c>
      <c r="Y25" s="4">
        <f t="shared" si="23"/>
        <v>600</v>
      </c>
      <c r="Z25" s="4">
        <f t="shared" si="23"/>
        <v>600</v>
      </c>
      <c r="AA25" s="4">
        <f t="shared" si="23"/>
        <v>600</v>
      </c>
      <c r="AB25" s="4">
        <f t="shared" si="23"/>
        <v>600</v>
      </c>
      <c r="AC25" s="4">
        <f t="shared" si="23"/>
        <v>600</v>
      </c>
      <c r="AD25" s="4">
        <f>600*12</f>
        <v>7200</v>
      </c>
      <c r="AE25" s="4">
        <f t="shared" si="17"/>
        <v>800</v>
      </c>
      <c r="AF25" s="4">
        <f t="shared" ref="AF25:AP29" si="24">+$AQ25/12</f>
        <v>800</v>
      </c>
      <c r="AG25" s="4">
        <f t="shared" si="24"/>
        <v>800</v>
      </c>
      <c r="AH25" s="4">
        <f t="shared" si="24"/>
        <v>800</v>
      </c>
      <c r="AI25" s="4">
        <f t="shared" si="24"/>
        <v>800</v>
      </c>
      <c r="AJ25" s="4">
        <f t="shared" si="24"/>
        <v>800</v>
      </c>
      <c r="AK25" s="4">
        <f t="shared" si="24"/>
        <v>800</v>
      </c>
      <c r="AL25" s="4">
        <f t="shared" si="24"/>
        <v>800</v>
      </c>
      <c r="AM25" s="4">
        <f t="shared" si="24"/>
        <v>800</v>
      </c>
      <c r="AN25" s="4">
        <f t="shared" si="24"/>
        <v>800</v>
      </c>
      <c r="AO25" s="4">
        <f t="shared" si="24"/>
        <v>800</v>
      </c>
      <c r="AP25" s="4">
        <f t="shared" si="24"/>
        <v>800</v>
      </c>
      <c r="AQ25" s="4">
        <f t="shared" ref="AQ25:BQ25" si="25">800*12</f>
        <v>9600</v>
      </c>
      <c r="AR25" s="4">
        <f t="shared" si="19"/>
        <v>800</v>
      </c>
      <c r="AS25" s="4">
        <f t="shared" si="20"/>
        <v>800</v>
      </c>
      <c r="AT25" s="4">
        <f t="shared" si="20"/>
        <v>800</v>
      </c>
      <c r="AU25" s="4">
        <f t="shared" si="20"/>
        <v>800</v>
      </c>
      <c r="AV25" s="4">
        <f t="shared" si="20"/>
        <v>800</v>
      </c>
      <c r="AW25" s="4">
        <f t="shared" si="20"/>
        <v>800</v>
      </c>
      <c r="AX25" s="4">
        <f t="shared" si="20"/>
        <v>800</v>
      </c>
      <c r="AY25" s="4">
        <f t="shared" si="20"/>
        <v>800</v>
      </c>
      <c r="AZ25" s="4">
        <f t="shared" si="20"/>
        <v>800</v>
      </c>
      <c r="BA25" s="4">
        <f t="shared" si="20"/>
        <v>800</v>
      </c>
      <c r="BB25" s="4">
        <f t="shared" si="20"/>
        <v>800</v>
      </c>
      <c r="BC25" s="4">
        <f t="shared" si="20"/>
        <v>800</v>
      </c>
      <c r="BD25" s="4">
        <f t="shared" si="25"/>
        <v>9600</v>
      </c>
      <c r="BE25" s="4">
        <f t="shared" si="21"/>
        <v>800</v>
      </c>
      <c r="BF25" s="4">
        <f t="shared" si="22"/>
        <v>800</v>
      </c>
      <c r="BG25" s="4">
        <f t="shared" si="22"/>
        <v>800</v>
      </c>
      <c r="BH25" s="4">
        <f t="shared" si="22"/>
        <v>800</v>
      </c>
      <c r="BI25" s="4">
        <f t="shared" si="22"/>
        <v>800</v>
      </c>
      <c r="BJ25" s="4">
        <f t="shared" si="22"/>
        <v>800</v>
      </c>
      <c r="BK25" s="4">
        <f t="shared" si="22"/>
        <v>800</v>
      </c>
      <c r="BL25" s="4">
        <f t="shared" si="22"/>
        <v>800</v>
      </c>
      <c r="BM25" s="4">
        <f t="shared" si="22"/>
        <v>800</v>
      </c>
      <c r="BN25" s="4">
        <f t="shared" si="22"/>
        <v>800</v>
      </c>
      <c r="BO25" s="4">
        <f t="shared" si="22"/>
        <v>800</v>
      </c>
      <c r="BP25" s="4">
        <f t="shared" si="22"/>
        <v>800</v>
      </c>
      <c r="BQ25" s="4">
        <f t="shared" si="25"/>
        <v>9600</v>
      </c>
      <c r="BR25" s="7"/>
    </row>
    <row r="26" spans="2:70" outlineLevel="2" x14ac:dyDescent="0.2">
      <c r="C26" s="1" t="s">
        <v>41</v>
      </c>
      <c r="D26" s="4">
        <v>0</v>
      </c>
      <c r="E26" s="4">
        <f>+D26</f>
        <v>0</v>
      </c>
      <c r="F26" s="4">
        <v>500</v>
      </c>
      <c r="G26" s="4">
        <f>+F26</f>
        <v>500</v>
      </c>
      <c r="H26" s="4">
        <f>+G26</f>
        <v>500</v>
      </c>
      <c r="I26" s="4">
        <f>+H26</f>
        <v>500</v>
      </c>
      <c r="J26" s="4">
        <f t="shared" ref="J26:O31" si="26">+I26</f>
        <v>500</v>
      </c>
      <c r="K26" s="4">
        <f t="shared" si="26"/>
        <v>500</v>
      </c>
      <c r="L26" s="4">
        <f t="shared" si="26"/>
        <v>500</v>
      </c>
      <c r="M26" s="4">
        <f t="shared" si="26"/>
        <v>500</v>
      </c>
      <c r="N26" s="4">
        <f t="shared" si="26"/>
        <v>500</v>
      </c>
      <c r="O26" s="4">
        <f t="shared" si="26"/>
        <v>500</v>
      </c>
      <c r="P26" s="4">
        <f t="shared" si="15"/>
        <v>5000</v>
      </c>
      <c r="Q26" s="4"/>
      <c r="R26" s="4">
        <f t="shared" si="23"/>
        <v>520</v>
      </c>
      <c r="S26" s="4">
        <f t="shared" si="23"/>
        <v>520</v>
      </c>
      <c r="T26" s="4">
        <f t="shared" si="23"/>
        <v>520</v>
      </c>
      <c r="U26" s="4">
        <f t="shared" si="23"/>
        <v>520</v>
      </c>
      <c r="V26" s="4">
        <f t="shared" si="23"/>
        <v>520</v>
      </c>
      <c r="W26" s="4">
        <f t="shared" si="23"/>
        <v>520</v>
      </c>
      <c r="X26" s="4">
        <f t="shared" si="23"/>
        <v>520</v>
      </c>
      <c r="Y26" s="4">
        <f t="shared" si="23"/>
        <v>520</v>
      </c>
      <c r="Z26" s="4">
        <f t="shared" si="23"/>
        <v>520</v>
      </c>
      <c r="AA26" s="4">
        <f t="shared" si="23"/>
        <v>520</v>
      </c>
      <c r="AB26" s="4">
        <f t="shared" si="23"/>
        <v>520</v>
      </c>
      <c r="AC26" s="4">
        <f t="shared" si="23"/>
        <v>520</v>
      </c>
      <c r="AD26" s="4">
        <f t="shared" ref="AD26:AD31" si="27">+$I26*(1+$D$80)*12</f>
        <v>6240</v>
      </c>
      <c r="AE26" s="4">
        <f t="shared" si="17"/>
        <v>540.80000000000007</v>
      </c>
      <c r="AF26" s="4">
        <f t="shared" si="24"/>
        <v>540.80000000000007</v>
      </c>
      <c r="AG26" s="4">
        <f t="shared" si="24"/>
        <v>540.80000000000007</v>
      </c>
      <c r="AH26" s="4">
        <f t="shared" si="24"/>
        <v>540.80000000000007</v>
      </c>
      <c r="AI26" s="4">
        <f t="shared" si="24"/>
        <v>540.80000000000007</v>
      </c>
      <c r="AJ26" s="4">
        <f t="shared" si="24"/>
        <v>540.80000000000007</v>
      </c>
      <c r="AK26" s="4">
        <f t="shared" si="24"/>
        <v>540.80000000000007</v>
      </c>
      <c r="AL26" s="4">
        <f t="shared" si="24"/>
        <v>540.80000000000007</v>
      </c>
      <c r="AM26" s="4">
        <f t="shared" si="24"/>
        <v>540.80000000000007</v>
      </c>
      <c r="AN26" s="4">
        <f t="shared" si="24"/>
        <v>540.80000000000007</v>
      </c>
      <c r="AO26" s="4">
        <f t="shared" si="24"/>
        <v>540.80000000000007</v>
      </c>
      <c r="AP26" s="4">
        <f t="shared" si="24"/>
        <v>540.80000000000007</v>
      </c>
      <c r="AQ26" s="4">
        <f t="shared" ref="AQ26:AQ31" si="28">+$I26*(1+$D$80)^2*12</f>
        <v>6489.6</v>
      </c>
      <c r="AR26" s="4">
        <f t="shared" si="19"/>
        <v>540.80000000000007</v>
      </c>
      <c r="AS26" s="4">
        <f t="shared" si="20"/>
        <v>540.80000000000007</v>
      </c>
      <c r="AT26" s="4">
        <f t="shared" si="20"/>
        <v>540.80000000000007</v>
      </c>
      <c r="AU26" s="4">
        <f t="shared" si="20"/>
        <v>540.80000000000007</v>
      </c>
      <c r="AV26" s="4">
        <f t="shared" si="20"/>
        <v>540.80000000000007</v>
      </c>
      <c r="AW26" s="4">
        <f t="shared" si="20"/>
        <v>540.80000000000007</v>
      </c>
      <c r="AX26" s="4">
        <f t="shared" si="20"/>
        <v>540.80000000000007</v>
      </c>
      <c r="AY26" s="4">
        <f t="shared" si="20"/>
        <v>540.80000000000007</v>
      </c>
      <c r="AZ26" s="4">
        <f t="shared" si="20"/>
        <v>540.80000000000007</v>
      </c>
      <c r="BA26" s="4">
        <f t="shared" si="20"/>
        <v>540.80000000000007</v>
      </c>
      <c r="BB26" s="4">
        <f t="shared" si="20"/>
        <v>540.80000000000007</v>
      </c>
      <c r="BC26" s="4">
        <f t="shared" si="20"/>
        <v>540.80000000000007</v>
      </c>
      <c r="BD26" s="4">
        <f t="shared" ref="BD26:BD31" si="29">+$I26*(1+$D$80)^3*12</f>
        <v>6749.1840000000002</v>
      </c>
      <c r="BE26" s="4">
        <f t="shared" si="21"/>
        <v>540.80000000000007</v>
      </c>
      <c r="BF26" s="4">
        <f t="shared" si="22"/>
        <v>540.80000000000007</v>
      </c>
      <c r="BG26" s="4">
        <f t="shared" si="22"/>
        <v>540.80000000000007</v>
      </c>
      <c r="BH26" s="4">
        <f t="shared" si="22"/>
        <v>540.80000000000007</v>
      </c>
      <c r="BI26" s="4">
        <f t="shared" si="22"/>
        <v>540.80000000000007</v>
      </c>
      <c r="BJ26" s="4">
        <f t="shared" si="22"/>
        <v>540.80000000000007</v>
      </c>
      <c r="BK26" s="4">
        <f t="shared" si="22"/>
        <v>540.80000000000007</v>
      </c>
      <c r="BL26" s="4">
        <f t="shared" si="22"/>
        <v>540.80000000000007</v>
      </c>
      <c r="BM26" s="4">
        <f t="shared" si="22"/>
        <v>540.80000000000007</v>
      </c>
      <c r="BN26" s="4">
        <f t="shared" si="22"/>
        <v>540.80000000000007</v>
      </c>
      <c r="BO26" s="4">
        <f t="shared" si="22"/>
        <v>540.80000000000007</v>
      </c>
      <c r="BP26" s="4">
        <f t="shared" si="22"/>
        <v>540.80000000000007</v>
      </c>
      <c r="BQ26" s="4">
        <f t="shared" ref="BQ26:BQ31" si="30">+$I26*(1+$D$80)^4*12</f>
        <v>7019.1513600000008</v>
      </c>
      <c r="BR26" s="7"/>
    </row>
    <row r="27" spans="2:70" outlineLevel="2" x14ac:dyDescent="0.2">
      <c r="C27" s="1" t="s">
        <v>42</v>
      </c>
      <c r="D27" s="4">
        <v>0</v>
      </c>
      <c r="E27" s="4">
        <f t="shared" ref="E27:I31" si="31">+D27</f>
        <v>0</v>
      </c>
      <c r="F27" s="4">
        <v>200</v>
      </c>
      <c r="G27" s="4">
        <f t="shared" si="31"/>
        <v>200</v>
      </c>
      <c r="H27" s="4">
        <f t="shared" si="31"/>
        <v>200</v>
      </c>
      <c r="I27" s="4">
        <f t="shared" si="31"/>
        <v>200</v>
      </c>
      <c r="J27" s="4">
        <f t="shared" si="26"/>
        <v>200</v>
      </c>
      <c r="K27" s="4">
        <f t="shared" si="26"/>
        <v>200</v>
      </c>
      <c r="L27" s="4">
        <f t="shared" si="26"/>
        <v>200</v>
      </c>
      <c r="M27" s="4">
        <f t="shared" si="26"/>
        <v>200</v>
      </c>
      <c r="N27" s="4">
        <f t="shared" si="26"/>
        <v>200</v>
      </c>
      <c r="O27" s="4">
        <f t="shared" si="26"/>
        <v>200</v>
      </c>
      <c r="P27" s="4">
        <f t="shared" si="15"/>
        <v>2000</v>
      </c>
      <c r="Q27" s="4"/>
      <c r="R27" s="4">
        <f t="shared" si="23"/>
        <v>208</v>
      </c>
      <c r="S27" s="4">
        <f t="shared" si="23"/>
        <v>208</v>
      </c>
      <c r="T27" s="4">
        <f t="shared" si="23"/>
        <v>208</v>
      </c>
      <c r="U27" s="4">
        <f t="shared" si="23"/>
        <v>208</v>
      </c>
      <c r="V27" s="4">
        <f t="shared" si="23"/>
        <v>208</v>
      </c>
      <c r="W27" s="4">
        <f t="shared" si="23"/>
        <v>208</v>
      </c>
      <c r="X27" s="4">
        <f t="shared" si="23"/>
        <v>208</v>
      </c>
      <c r="Y27" s="4">
        <f t="shared" si="23"/>
        <v>208</v>
      </c>
      <c r="Z27" s="4">
        <f t="shared" si="23"/>
        <v>208</v>
      </c>
      <c r="AA27" s="4">
        <f t="shared" si="23"/>
        <v>208</v>
      </c>
      <c r="AB27" s="4">
        <f t="shared" si="23"/>
        <v>208</v>
      </c>
      <c r="AC27" s="4">
        <f t="shared" si="23"/>
        <v>208</v>
      </c>
      <c r="AD27" s="4">
        <f t="shared" si="27"/>
        <v>2496</v>
      </c>
      <c r="AE27" s="4">
        <f t="shared" si="17"/>
        <v>216.32000000000002</v>
      </c>
      <c r="AF27" s="4">
        <f t="shared" si="24"/>
        <v>216.32000000000002</v>
      </c>
      <c r="AG27" s="4">
        <f t="shared" si="24"/>
        <v>216.32000000000002</v>
      </c>
      <c r="AH27" s="4">
        <f t="shared" si="24"/>
        <v>216.32000000000002</v>
      </c>
      <c r="AI27" s="4">
        <f t="shared" si="24"/>
        <v>216.32000000000002</v>
      </c>
      <c r="AJ27" s="4">
        <f t="shared" si="24"/>
        <v>216.32000000000002</v>
      </c>
      <c r="AK27" s="4">
        <f t="shared" si="24"/>
        <v>216.32000000000002</v>
      </c>
      <c r="AL27" s="4">
        <f t="shared" si="24"/>
        <v>216.32000000000002</v>
      </c>
      <c r="AM27" s="4">
        <f t="shared" si="24"/>
        <v>216.32000000000002</v>
      </c>
      <c r="AN27" s="4">
        <f t="shared" si="24"/>
        <v>216.32000000000002</v>
      </c>
      <c r="AO27" s="4">
        <f t="shared" si="24"/>
        <v>216.32000000000002</v>
      </c>
      <c r="AP27" s="4">
        <f t="shared" si="24"/>
        <v>216.32000000000002</v>
      </c>
      <c r="AQ27" s="4">
        <f t="shared" si="28"/>
        <v>2595.84</v>
      </c>
      <c r="AR27" s="4">
        <f t="shared" si="19"/>
        <v>216.32000000000002</v>
      </c>
      <c r="AS27" s="4">
        <f t="shared" si="20"/>
        <v>216.32000000000002</v>
      </c>
      <c r="AT27" s="4">
        <f t="shared" si="20"/>
        <v>216.32000000000002</v>
      </c>
      <c r="AU27" s="4">
        <f t="shared" si="20"/>
        <v>216.32000000000002</v>
      </c>
      <c r="AV27" s="4">
        <f t="shared" si="20"/>
        <v>216.32000000000002</v>
      </c>
      <c r="AW27" s="4">
        <f t="shared" si="20"/>
        <v>216.32000000000002</v>
      </c>
      <c r="AX27" s="4">
        <f t="shared" si="20"/>
        <v>216.32000000000002</v>
      </c>
      <c r="AY27" s="4">
        <f t="shared" si="20"/>
        <v>216.32000000000002</v>
      </c>
      <c r="AZ27" s="4">
        <f t="shared" si="20"/>
        <v>216.32000000000002</v>
      </c>
      <c r="BA27" s="4">
        <f t="shared" si="20"/>
        <v>216.32000000000002</v>
      </c>
      <c r="BB27" s="4">
        <f t="shared" si="20"/>
        <v>216.32000000000002</v>
      </c>
      <c r="BC27" s="4">
        <f t="shared" si="20"/>
        <v>216.32000000000002</v>
      </c>
      <c r="BD27" s="4">
        <f t="shared" si="29"/>
        <v>2699.6736000000001</v>
      </c>
      <c r="BE27" s="4">
        <f t="shared" si="21"/>
        <v>216.32000000000002</v>
      </c>
      <c r="BF27" s="4">
        <f t="shared" si="22"/>
        <v>216.32000000000002</v>
      </c>
      <c r="BG27" s="4">
        <f t="shared" si="22"/>
        <v>216.32000000000002</v>
      </c>
      <c r="BH27" s="4">
        <f t="shared" si="22"/>
        <v>216.32000000000002</v>
      </c>
      <c r="BI27" s="4">
        <f t="shared" si="22"/>
        <v>216.32000000000002</v>
      </c>
      <c r="BJ27" s="4">
        <f t="shared" si="22"/>
        <v>216.32000000000002</v>
      </c>
      <c r="BK27" s="4">
        <f t="shared" si="22"/>
        <v>216.32000000000002</v>
      </c>
      <c r="BL27" s="4">
        <f t="shared" si="22"/>
        <v>216.32000000000002</v>
      </c>
      <c r="BM27" s="4">
        <f t="shared" si="22"/>
        <v>216.32000000000002</v>
      </c>
      <c r="BN27" s="4">
        <f t="shared" si="22"/>
        <v>216.32000000000002</v>
      </c>
      <c r="BO27" s="4">
        <f t="shared" si="22"/>
        <v>216.32000000000002</v>
      </c>
      <c r="BP27" s="4">
        <f t="shared" si="22"/>
        <v>216.32000000000002</v>
      </c>
      <c r="BQ27" s="4">
        <f t="shared" si="30"/>
        <v>2807.6605440000008</v>
      </c>
      <c r="BR27" s="7"/>
    </row>
    <row r="28" spans="2:70" outlineLevel="2" x14ac:dyDescent="0.2">
      <c r="C28" s="1" t="s">
        <v>43</v>
      </c>
      <c r="D28" s="4">
        <v>0</v>
      </c>
      <c r="E28" s="4"/>
      <c r="F28" s="4">
        <v>200</v>
      </c>
      <c r="G28" s="4">
        <f t="shared" si="31"/>
        <v>200</v>
      </c>
      <c r="H28" s="4">
        <f t="shared" si="31"/>
        <v>200</v>
      </c>
      <c r="I28" s="4">
        <f t="shared" si="31"/>
        <v>200</v>
      </c>
      <c r="J28" s="4">
        <f t="shared" si="26"/>
        <v>200</v>
      </c>
      <c r="K28" s="4">
        <f t="shared" si="26"/>
        <v>200</v>
      </c>
      <c r="L28" s="4">
        <f>+K28/2</f>
        <v>100</v>
      </c>
      <c r="M28" s="4">
        <f t="shared" si="26"/>
        <v>100</v>
      </c>
      <c r="N28" s="4">
        <f t="shared" si="26"/>
        <v>100</v>
      </c>
      <c r="O28" s="4">
        <f t="shared" si="26"/>
        <v>100</v>
      </c>
      <c r="P28" s="4">
        <f t="shared" si="15"/>
        <v>1600</v>
      </c>
      <c r="Q28" s="4"/>
      <c r="R28" s="4">
        <f t="shared" si="23"/>
        <v>208</v>
      </c>
      <c r="S28" s="4">
        <f t="shared" si="23"/>
        <v>208</v>
      </c>
      <c r="T28" s="4">
        <f t="shared" si="23"/>
        <v>208</v>
      </c>
      <c r="U28" s="4">
        <f t="shared" si="23"/>
        <v>208</v>
      </c>
      <c r="V28" s="4">
        <f t="shared" si="23"/>
        <v>208</v>
      </c>
      <c r="W28" s="4">
        <f t="shared" si="23"/>
        <v>208</v>
      </c>
      <c r="X28" s="4">
        <f t="shared" si="23"/>
        <v>208</v>
      </c>
      <c r="Y28" s="4">
        <f t="shared" si="23"/>
        <v>208</v>
      </c>
      <c r="Z28" s="4">
        <f t="shared" si="23"/>
        <v>208</v>
      </c>
      <c r="AA28" s="4">
        <f t="shared" si="23"/>
        <v>208</v>
      </c>
      <c r="AB28" s="4">
        <f t="shared" si="23"/>
        <v>208</v>
      </c>
      <c r="AC28" s="4">
        <f t="shared" si="23"/>
        <v>208</v>
      </c>
      <c r="AD28" s="4">
        <f t="shared" si="27"/>
        <v>2496</v>
      </c>
      <c r="AE28" s="4">
        <f t="shared" si="17"/>
        <v>216.32000000000002</v>
      </c>
      <c r="AF28" s="4">
        <f t="shared" si="24"/>
        <v>216.32000000000002</v>
      </c>
      <c r="AG28" s="4">
        <f t="shared" si="24"/>
        <v>216.32000000000002</v>
      </c>
      <c r="AH28" s="4">
        <f t="shared" si="24"/>
        <v>216.32000000000002</v>
      </c>
      <c r="AI28" s="4">
        <f t="shared" si="24"/>
        <v>216.32000000000002</v>
      </c>
      <c r="AJ28" s="4">
        <f t="shared" si="24"/>
        <v>216.32000000000002</v>
      </c>
      <c r="AK28" s="4">
        <f t="shared" si="24"/>
        <v>216.32000000000002</v>
      </c>
      <c r="AL28" s="4">
        <f t="shared" si="24"/>
        <v>216.32000000000002</v>
      </c>
      <c r="AM28" s="4">
        <f t="shared" si="24"/>
        <v>216.32000000000002</v>
      </c>
      <c r="AN28" s="4">
        <f t="shared" si="24"/>
        <v>216.32000000000002</v>
      </c>
      <c r="AO28" s="4">
        <f t="shared" si="24"/>
        <v>216.32000000000002</v>
      </c>
      <c r="AP28" s="4">
        <f t="shared" si="24"/>
        <v>216.32000000000002</v>
      </c>
      <c r="AQ28" s="4">
        <f t="shared" si="28"/>
        <v>2595.84</v>
      </c>
      <c r="AR28" s="4">
        <f t="shared" si="19"/>
        <v>216.32000000000002</v>
      </c>
      <c r="AS28" s="4">
        <f t="shared" si="20"/>
        <v>216.32000000000002</v>
      </c>
      <c r="AT28" s="4">
        <f t="shared" si="20"/>
        <v>216.32000000000002</v>
      </c>
      <c r="AU28" s="4">
        <f t="shared" si="20"/>
        <v>216.32000000000002</v>
      </c>
      <c r="AV28" s="4">
        <f t="shared" si="20"/>
        <v>216.32000000000002</v>
      </c>
      <c r="AW28" s="4">
        <f t="shared" si="20"/>
        <v>216.32000000000002</v>
      </c>
      <c r="AX28" s="4">
        <f t="shared" si="20"/>
        <v>216.32000000000002</v>
      </c>
      <c r="AY28" s="4">
        <f t="shared" si="20"/>
        <v>216.32000000000002</v>
      </c>
      <c r="AZ28" s="4">
        <f t="shared" si="20"/>
        <v>216.32000000000002</v>
      </c>
      <c r="BA28" s="4">
        <f t="shared" si="20"/>
        <v>216.32000000000002</v>
      </c>
      <c r="BB28" s="4">
        <f t="shared" si="20"/>
        <v>216.32000000000002</v>
      </c>
      <c r="BC28" s="4">
        <f t="shared" si="20"/>
        <v>216.32000000000002</v>
      </c>
      <c r="BD28" s="4">
        <f t="shared" si="29"/>
        <v>2699.6736000000001</v>
      </c>
      <c r="BE28" s="4">
        <f t="shared" si="21"/>
        <v>216.32000000000002</v>
      </c>
      <c r="BF28" s="4">
        <f t="shared" si="22"/>
        <v>216.32000000000002</v>
      </c>
      <c r="BG28" s="4">
        <f t="shared" si="22"/>
        <v>216.32000000000002</v>
      </c>
      <c r="BH28" s="4">
        <f t="shared" si="22"/>
        <v>216.32000000000002</v>
      </c>
      <c r="BI28" s="4">
        <f t="shared" si="22"/>
        <v>216.32000000000002</v>
      </c>
      <c r="BJ28" s="4">
        <f t="shared" si="22"/>
        <v>216.32000000000002</v>
      </c>
      <c r="BK28" s="4">
        <f t="shared" si="22"/>
        <v>216.32000000000002</v>
      </c>
      <c r="BL28" s="4">
        <f t="shared" si="22"/>
        <v>216.32000000000002</v>
      </c>
      <c r="BM28" s="4">
        <f t="shared" si="22"/>
        <v>216.32000000000002</v>
      </c>
      <c r="BN28" s="4">
        <f t="shared" si="22"/>
        <v>216.32000000000002</v>
      </c>
      <c r="BO28" s="4">
        <f t="shared" si="22"/>
        <v>216.32000000000002</v>
      </c>
      <c r="BP28" s="4">
        <f t="shared" si="22"/>
        <v>216.32000000000002</v>
      </c>
      <c r="BQ28" s="4">
        <f t="shared" si="30"/>
        <v>2807.6605440000008</v>
      </c>
      <c r="BR28" s="7"/>
    </row>
    <row r="29" spans="2:70" outlineLevel="2" x14ac:dyDescent="0.2">
      <c r="C29" s="1" t="s">
        <v>44</v>
      </c>
      <c r="D29" s="4">
        <v>0</v>
      </c>
      <c r="E29" s="4"/>
      <c r="F29" s="4">
        <v>200</v>
      </c>
      <c r="G29" s="4">
        <f t="shared" si="31"/>
        <v>200</v>
      </c>
      <c r="H29" s="4">
        <f t="shared" si="31"/>
        <v>200</v>
      </c>
      <c r="I29" s="4">
        <f t="shared" si="31"/>
        <v>200</v>
      </c>
      <c r="J29" s="4">
        <f t="shared" si="26"/>
        <v>200</v>
      </c>
      <c r="K29" s="4">
        <f t="shared" si="26"/>
        <v>200</v>
      </c>
      <c r="L29" s="4">
        <f t="shared" si="26"/>
        <v>200</v>
      </c>
      <c r="M29" s="4">
        <f t="shared" si="26"/>
        <v>200</v>
      </c>
      <c r="N29" s="4">
        <f t="shared" si="26"/>
        <v>200</v>
      </c>
      <c r="O29" s="4">
        <f t="shared" si="26"/>
        <v>200</v>
      </c>
      <c r="P29" s="4">
        <f t="shared" si="15"/>
        <v>2000</v>
      </c>
      <c r="Q29" s="4"/>
      <c r="R29" s="4">
        <f t="shared" si="23"/>
        <v>208</v>
      </c>
      <c r="S29" s="4">
        <f t="shared" si="23"/>
        <v>208</v>
      </c>
      <c r="T29" s="4">
        <f t="shared" si="23"/>
        <v>208</v>
      </c>
      <c r="U29" s="4">
        <f t="shared" si="23"/>
        <v>208</v>
      </c>
      <c r="V29" s="4">
        <f t="shared" si="23"/>
        <v>208</v>
      </c>
      <c r="W29" s="4">
        <f t="shared" si="23"/>
        <v>208</v>
      </c>
      <c r="X29" s="4">
        <f t="shared" si="23"/>
        <v>208</v>
      </c>
      <c r="Y29" s="4">
        <f t="shared" si="23"/>
        <v>208</v>
      </c>
      <c r="Z29" s="4">
        <f t="shared" si="23"/>
        <v>208</v>
      </c>
      <c r="AA29" s="4">
        <f t="shared" si="23"/>
        <v>208</v>
      </c>
      <c r="AB29" s="4">
        <f t="shared" si="23"/>
        <v>208</v>
      </c>
      <c r="AC29" s="4">
        <f t="shared" si="23"/>
        <v>208</v>
      </c>
      <c r="AD29" s="4">
        <f t="shared" si="27"/>
        <v>2496</v>
      </c>
      <c r="AE29" s="4">
        <f t="shared" si="17"/>
        <v>216.32000000000002</v>
      </c>
      <c r="AF29" s="4">
        <f t="shared" si="24"/>
        <v>216.32000000000002</v>
      </c>
      <c r="AG29" s="4">
        <f t="shared" si="24"/>
        <v>216.32000000000002</v>
      </c>
      <c r="AH29" s="4">
        <f t="shared" si="24"/>
        <v>216.32000000000002</v>
      </c>
      <c r="AI29" s="4">
        <f t="shared" si="24"/>
        <v>216.32000000000002</v>
      </c>
      <c r="AJ29" s="4">
        <f t="shared" si="24"/>
        <v>216.32000000000002</v>
      </c>
      <c r="AK29" s="4">
        <f t="shared" si="24"/>
        <v>216.32000000000002</v>
      </c>
      <c r="AL29" s="4">
        <f t="shared" si="24"/>
        <v>216.32000000000002</v>
      </c>
      <c r="AM29" s="4">
        <f t="shared" si="24"/>
        <v>216.32000000000002</v>
      </c>
      <c r="AN29" s="4">
        <f t="shared" si="24"/>
        <v>216.32000000000002</v>
      </c>
      <c r="AO29" s="4">
        <f t="shared" si="24"/>
        <v>216.32000000000002</v>
      </c>
      <c r="AP29" s="4">
        <f t="shared" si="24"/>
        <v>216.32000000000002</v>
      </c>
      <c r="AQ29" s="4">
        <f t="shared" si="28"/>
        <v>2595.84</v>
      </c>
      <c r="AR29" s="4">
        <f t="shared" si="19"/>
        <v>216.32000000000002</v>
      </c>
      <c r="AS29" s="4">
        <f t="shared" si="20"/>
        <v>216.32000000000002</v>
      </c>
      <c r="AT29" s="4">
        <f t="shared" si="20"/>
        <v>216.32000000000002</v>
      </c>
      <c r="AU29" s="4">
        <f t="shared" si="20"/>
        <v>216.32000000000002</v>
      </c>
      <c r="AV29" s="4">
        <f t="shared" si="20"/>
        <v>216.32000000000002</v>
      </c>
      <c r="AW29" s="4">
        <f t="shared" si="20"/>
        <v>216.32000000000002</v>
      </c>
      <c r="AX29" s="4">
        <f t="shared" si="20"/>
        <v>216.32000000000002</v>
      </c>
      <c r="AY29" s="4">
        <f t="shared" si="20"/>
        <v>216.32000000000002</v>
      </c>
      <c r="AZ29" s="4">
        <f t="shared" si="20"/>
        <v>216.32000000000002</v>
      </c>
      <c r="BA29" s="4">
        <f t="shared" si="20"/>
        <v>216.32000000000002</v>
      </c>
      <c r="BB29" s="4">
        <f t="shared" si="20"/>
        <v>216.32000000000002</v>
      </c>
      <c r="BC29" s="4">
        <f t="shared" si="20"/>
        <v>216.32000000000002</v>
      </c>
      <c r="BD29" s="4">
        <f t="shared" si="29"/>
        <v>2699.6736000000001</v>
      </c>
      <c r="BE29" s="4">
        <f t="shared" si="21"/>
        <v>216.32000000000002</v>
      </c>
      <c r="BF29" s="4">
        <f t="shared" si="22"/>
        <v>216.32000000000002</v>
      </c>
      <c r="BG29" s="4">
        <f t="shared" si="22"/>
        <v>216.32000000000002</v>
      </c>
      <c r="BH29" s="4">
        <f t="shared" si="22"/>
        <v>216.32000000000002</v>
      </c>
      <c r="BI29" s="4">
        <f t="shared" si="22"/>
        <v>216.32000000000002</v>
      </c>
      <c r="BJ29" s="4">
        <f t="shared" si="22"/>
        <v>216.32000000000002</v>
      </c>
      <c r="BK29" s="4">
        <f t="shared" si="22"/>
        <v>216.32000000000002</v>
      </c>
      <c r="BL29" s="4">
        <f t="shared" si="22"/>
        <v>216.32000000000002</v>
      </c>
      <c r="BM29" s="4">
        <f t="shared" si="22"/>
        <v>216.32000000000002</v>
      </c>
      <c r="BN29" s="4">
        <f t="shared" si="22"/>
        <v>216.32000000000002</v>
      </c>
      <c r="BO29" s="4">
        <f t="shared" si="22"/>
        <v>216.32000000000002</v>
      </c>
      <c r="BP29" s="4">
        <f t="shared" si="22"/>
        <v>216.32000000000002</v>
      </c>
      <c r="BQ29" s="4">
        <f t="shared" si="30"/>
        <v>2807.6605440000008</v>
      </c>
      <c r="BR29" s="7"/>
    </row>
    <row r="30" spans="2:70" outlineLevel="2" x14ac:dyDescent="0.2">
      <c r="C30" s="1" t="s">
        <v>45</v>
      </c>
      <c r="D30" s="4">
        <v>0</v>
      </c>
      <c r="E30" s="4">
        <f t="shared" si="31"/>
        <v>0</v>
      </c>
      <c r="F30" s="4">
        <v>500</v>
      </c>
      <c r="G30" s="4">
        <f t="shared" si="31"/>
        <v>500</v>
      </c>
      <c r="H30" s="4">
        <f t="shared" si="31"/>
        <v>500</v>
      </c>
      <c r="I30" s="4">
        <f t="shared" si="31"/>
        <v>500</v>
      </c>
      <c r="J30" s="4">
        <f t="shared" si="26"/>
        <v>500</v>
      </c>
      <c r="K30" s="4">
        <f t="shared" si="26"/>
        <v>500</v>
      </c>
      <c r="L30" s="4">
        <f t="shared" si="26"/>
        <v>500</v>
      </c>
      <c r="M30" s="4">
        <f t="shared" si="26"/>
        <v>500</v>
      </c>
      <c r="N30" s="4">
        <f t="shared" si="26"/>
        <v>500</v>
      </c>
      <c r="O30" s="4">
        <f t="shared" si="26"/>
        <v>500</v>
      </c>
      <c r="P30" s="4">
        <f t="shared" si="15"/>
        <v>5000</v>
      </c>
      <c r="Q30" s="4"/>
      <c r="R30" s="4">
        <f t="shared" si="23"/>
        <v>520</v>
      </c>
      <c r="S30" s="4">
        <f t="shared" si="23"/>
        <v>520</v>
      </c>
      <c r="T30" s="4">
        <f t="shared" si="23"/>
        <v>520</v>
      </c>
      <c r="U30" s="4">
        <f t="shared" si="23"/>
        <v>520</v>
      </c>
      <c r="V30" s="4">
        <f t="shared" si="23"/>
        <v>520</v>
      </c>
      <c r="W30" s="4">
        <f t="shared" si="23"/>
        <v>520</v>
      </c>
      <c r="X30" s="4">
        <f t="shared" si="23"/>
        <v>520</v>
      </c>
      <c r="Y30" s="4">
        <f t="shared" si="23"/>
        <v>520</v>
      </c>
      <c r="Z30" s="4">
        <f t="shared" si="23"/>
        <v>520</v>
      </c>
      <c r="AA30" s="4">
        <f t="shared" si="23"/>
        <v>520</v>
      </c>
      <c r="AB30" s="4">
        <f t="shared" si="23"/>
        <v>520</v>
      </c>
      <c r="AC30" s="4">
        <f t="shared" si="23"/>
        <v>520</v>
      </c>
      <c r="AD30" s="4">
        <f t="shared" si="27"/>
        <v>6240</v>
      </c>
      <c r="AE30" s="4">
        <f t="shared" ref="AE30:AT31" si="32">+$AD30/12</f>
        <v>520</v>
      </c>
      <c r="AF30" s="4">
        <f t="shared" si="32"/>
        <v>520</v>
      </c>
      <c r="AG30" s="4">
        <f t="shared" si="32"/>
        <v>520</v>
      </c>
      <c r="AH30" s="4">
        <f t="shared" si="32"/>
        <v>520</v>
      </c>
      <c r="AI30" s="4">
        <f t="shared" si="32"/>
        <v>520</v>
      </c>
      <c r="AJ30" s="4">
        <f t="shared" si="32"/>
        <v>520</v>
      </c>
      <c r="AK30" s="4">
        <f t="shared" si="32"/>
        <v>520</v>
      </c>
      <c r="AL30" s="4">
        <f t="shared" si="32"/>
        <v>520</v>
      </c>
      <c r="AM30" s="4">
        <f t="shared" si="32"/>
        <v>520</v>
      </c>
      <c r="AN30" s="4">
        <f t="shared" si="32"/>
        <v>520</v>
      </c>
      <c r="AO30" s="4">
        <f t="shared" si="32"/>
        <v>520</v>
      </c>
      <c r="AP30" s="4">
        <f t="shared" si="32"/>
        <v>520</v>
      </c>
      <c r="AQ30" s="4">
        <f t="shared" si="28"/>
        <v>6489.6</v>
      </c>
      <c r="AR30" s="4">
        <f t="shared" si="32"/>
        <v>520</v>
      </c>
      <c r="AS30" s="4">
        <f t="shared" si="32"/>
        <v>520</v>
      </c>
      <c r="AT30" s="4">
        <f t="shared" si="32"/>
        <v>520</v>
      </c>
      <c r="AU30" s="4">
        <f t="shared" ref="AR30:BC31" si="33">+$AD30/12</f>
        <v>520</v>
      </c>
      <c r="AV30" s="4">
        <f t="shared" si="33"/>
        <v>520</v>
      </c>
      <c r="AW30" s="4">
        <f t="shared" si="33"/>
        <v>520</v>
      </c>
      <c r="AX30" s="4">
        <f t="shared" si="33"/>
        <v>520</v>
      </c>
      <c r="AY30" s="4">
        <f t="shared" si="33"/>
        <v>520</v>
      </c>
      <c r="AZ30" s="4">
        <f t="shared" si="33"/>
        <v>520</v>
      </c>
      <c r="BA30" s="4">
        <f t="shared" si="33"/>
        <v>520</v>
      </c>
      <c r="BB30" s="4">
        <f t="shared" si="33"/>
        <v>520</v>
      </c>
      <c r="BC30" s="4">
        <f t="shared" si="33"/>
        <v>520</v>
      </c>
      <c r="BD30" s="4">
        <f t="shared" si="29"/>
        <v>6749.1840000000002</v>
      </c>
      <c r="BE30" s="4">
        <f t="shared" ref="BE30:BP31" si="34">+$AD30/12</f>
        <v>520</v>
      </c>
      <c r="BF30" s="4">
        <f t="shared" si="34"/>
        <v>520</v>
      </c>
      <c r="BG30" s="4">
        <f t="shared" si="34"/>
        <v>520</v>
      </c>
      <c r="BH30" s="4">
        <f t="shared" si="34"/>
        <v>520</v>
      </c>
      <c r="BI30" s="4">
        <f t="shared" si="34"/>
        <v>520</v>
      </c>
      <c r="BJ30" s="4">
        <f t="shared" si="34"/>
        <v>520</v>
      </c>
      <c r="BK30" s="4">
        <f t="shared" si="34"/>
        <v>520</v>
      </c>
      <c r="BL30" s="4">
        <f t="shared" si="34"/>
        <v>520</v>
      </c>
      <c r="BM30" s="4">
        <f t="shared" si="34"/>
        <v>520</v>
      </c>
      <c r="BN30" s="4">
        <f t="shared" si="34"/>
        <v>520</v>
      </c>
      <c r="BO30" s="4">
        <f t="shared" si="34"/>
        <v>520</v>
      </c>
      <c r="BP30" s="4">
        <f t="shared" si="34"/>
        <v>520</v>
      </c>
      <c r="BQ30" s="4">
        <f t="shared" si="30"/>
        <v>7019.1513600000008</v>
      </c>
      <c r="BR30" s="7"/>
    </row>
    <row r="31" spans="2:70" outlineLevel="2" x14ac:dyDescent="0.2">
      <c r="C31" s="1" t="s">
        <v>46</v>
      </c>
      <c r="D31" s="4">
        <v>0</v>
      </c>
      <c r="E31" s="4">
        <f>+D31</f>
        <v>0</v>
      </c>
      <c r="F31" s="4">
        <v>250</v>
      </c>
      <c r="G31" s="4">
        <f t="shared" si="31"/>
        <v>250</v>
      </c>
      <c r="H31" s="4">
        <f t="shared" si="31"/>
        <v>250</v>
      </c>
      <c r="I31" s="4">
        <f t="shared" si="31"/>
        <v>250</v>
      </c>
      <c r="J31" s="4">
        <f t="shared" si="26"/>
        <v>250</v>
      </c>
      <c r="K31" s="4">
        <f t="shared" si="26"/>
        <v>250</v>
      </c>
      <c r="L31" s="4">
        <f t="shared" ref="L31" si="35">+K31</f>
        <v>250</v>
      </c>
      <c r="M31" s="4">
        <f t="shared" ref="M31" si="36">+L31</f>
        <v>250</v>
      </c>
      <c r="N31" s="4">
        <f t="shared" ref="N31" si="37">+M31</f>
        <v>250</v>
      </c>
      <c r="O31" s="4">
        <f t="shared" ref="O31" si="38">+N31</f>
        <v>250</v>
      </c>
      <c r="P31" s="4">
        <f t="shared" si="15"/>
        <v>2500</v>
      </c>
      <c r="Q31" s="4"/>
      <c r="R31" s="4">
        <f t="shared" si="23"/>
        <v>260</v>
      </c>
      <c r="S31" s="4">
        <f t="shared" si="23"/>
        <v>260</v>
      </c>
      <c r="T31" s="4">
        <f t="shared" si="23"/>
        <v>260</v>
      </c>
      <c r="U31" s="4">
        <f t="shared" si="23"/>
        <v>260</v>
      </c>
      <c r="V31" s="4">
        <f t="shared" si="23"/>
        <v>260</v>
      </c>
      <c r="W31" s="4">
        <f t="shared" si="23"/>
        <v>260</v>
      </c>
      <c r="X31" s="4">
        <f t="shared" si="23"/>
        <v>260</v>
      </c>
      <c r="Y31" s="4">
        <f t="shared" si="23"/>
        <v>260</v>
      </c>
      <c r="Z31" s="4">
        <f t="shared" si="23"/>
        <v>260</v>
      </c>
      <c r="AA31" s="4">
        <f t="shared" si="23"/>
        <v>260</v>
      </c>
      <c r="AB31" s="4">
        <f t="shared" si="23"/>
        <v>260</v>
      </c>
      <c r="AC31" s="4">
        <f t="shared" si="23"/>
        <v>260</v>
      </c>
      <c r="AD31" s="4">
        <f t="shared" si="27"/>
        <v>3120</v>
      </c>
      <c r="AE31" s="4">
        <f t="shared" si="32"/>
        <v>260</v>
      </c>
      <c r="AF31" s="4">
        <f t="shared" si="32"/>
        <v>260</v>
      </c>
      <c r="AG31" s="4">
        <f t="shared" si="32"/>
        <v>260</v>
      </c>
      <c r="AH31" s="4">
        <f t="shared" si="32"/>
        <v>260</v>
      </c>
      <c r="AI31" s="4">
        <f t="shared" si="32"/>
        <v>260</v>
      </c>
      <c r="AJ31" s="4">
        <f t="shared" si="32"/>
        <v>260</v>
      </c>
      <c r="AK31" s="4">
        <f t="shared" si="32"/>
        <v>260</v>
      </c>
      <c r="AL31" s="4">
        <f t="shared" si="32"/>
        <v>260</v>
      </c>
      <c r="AM31" s="4">
        <f t="shared" si="32"/>
        <v>260</v>
      </c>
      <c r="AN31" s="4">
        <f t="shared" si="32"/>
        <v>260</v>
      </c>
      <c r="AO31" s="4">
        <f t="shared" si="32"/>
        <v>260</v>
      </c>
      <c r="AP31" s="4">
        <f t="shared" si="32"/>
        <v>260</v>
      </c>
      <c r="AQ31" s="4">
        <f t="shared" si="28"/>
        <v>3244.8</v>
      </c>
      <c r="AR31" s="4">
        <f t="shared" si="33"/>
        <v>260</v>
      </c>
      <c r="AS31" s="4">
        <f t="shared" si="33"/>
        <v>260</v>
      </c>
      <c r="AT31" s="4">
        <f t="shared" si="33"/>
        <v>260</v>
      </c>
      <c r="AU31" s="4">
        <f t="shared" si="33"/>
        <v>260</v>
      </c>
      <c r="AV31" s="4">
        <f t="shared" si="33"/>
        <v>260</v>
      </c>
      <c r="AW31" s="4">
        <f t="shared" si="33"/>
        <v>260</v>
      </c>
      <c r="AX31" s="4">
        <f t="shared" si="33"/>
        <v>260</v>
      </c>
      <c r="AY31" s="4">
        <f t="shared" si="33"/>
        <v>260</v>
      </c>
      <c r="AZ31" s="4">
        <f t="shared" si="33"/>
        <v>260</v>
      </c>
      <c r="BA31" s="4">
        <f t="shared" si="33"/>
        <v>260</v>
      </c>
      <c r="BB31" s="4">
        <f t="shared" si="33"/>
        <v>260</v>
      </c>
      <c r="BC31" s="4">
        <f t="shared" si="33"/>
        <v>260</v>
      </c>
      <c r="BD31" s="4">
        <f t="shared" si="29"/>
        <v>3374.5920000000001</v>
      </c>
      <c r="BE31" s="4">
        <f t="shared" si="34"/>
        <v>260</v>
      </c>
      <c r="BF31" s="4">
        <f t="shared" si="34"/>
        <v>260</v>
      </c>
      <c r="BG31" s="4">
        <f t="shared" si="34"/>
        <v>260</v>
      </c>
      <c r="BH31" s="4">
        <f t="shared" si="34"/>
        <v>260</v>
      </c>
      <c r="BI31" s="4">
        <f t="shared" si="34"/>
        <v>260</v>
      </c>
      <c r="BJ31" s="4">
        <f t="shared" si="34"/>
        <v>260</v>
      </c>
      <c r="BK31" s="4">
        <f t="shared" si="34"/>
        <v>260</v>
      </c>
      <c r="BL31" s="4">
        <f t="shared" si="34"/>
        <v>260</v>
      </c>
      <c r="BM31" s="4">
        <f t="shared" si="34"/>
        <v>260</v>
      </c>
      <c r="BN31" s="4">
        <f t="shared" si="34"/>
        <v>260</v>
      </c>
      <c r="BO31" s="4">
        <f t="shared" si="34"/>
        <v>260</v>
      </c>
      <c r="BP31" s="4">
        <f t="shared" si="34"/>
        <v>260</v>
      </c>
      <c r="BQ31" s="4">
        <f t="shared" si="30"/>
        <v>3509.5756800000004</v>
      </c>
      <c r="BR31" s="7"/>
    </row>
    <row r="32" spans="2:70" outlineLevel="2" x14ac:dyDescent="0.2">
      <c r="C32" s="2" t="s">
        <v>23</v>
      </c>
      <c r="D32" s="6">
        <f t="shared" ref="D32:P32" si="39">+SUM(D24:D31)</f>
        <v>0</v>
      </c>
      <c r="E32" s="6">
        <f t="shared" si="39"/>
        <v>200</v>
      </c>
      <c r="F32" s="6">
        <f t="shared" si="39"/>
        <v>2050</v>
      </c>
      <c r="G32" s="6">
        <f t="shared" si="39"/>
        <v>2050</v>
      </c>
      <c r="H32" s="6">
        <f t="shared" si="39"/>
        <v>2150</v>
      </c>
      <c r="I32" s="6">
        <f t="shared" si="39"/>
        <v>2150</v>
      </c>
      <c r="J32" s="6">
        <f t="shared" si="39"/>
        <v>2350</v>
      </c>
      <c r="K32" s="6">
        <f t="shared" si="39"/>
        <v>2350</v>
      </c>
      <c r="L32" s="6">
        <f t="shared" si="39"/>
        <v>2250</v>
      </c>
      <c r="M32" s="6">
        <f t="shared" si="39"/>
        <v>2250</v>
      </c>
      <c r="N32" s="6">
        <f t="shared" si="39"/>
        <v>2250</v>
      </c>
      <c r="O32" s="6">
        <f t="shared" si="39"/>
        <v>2250</v>
      </c>
      <c r="P32" s="6">
        <f t="shared" si="39"/>
        <v>22300</v>
      </c>
      <c r="Q32" s="6"/>
      <c r="R32" s="6">
        <f t="shared" ref="R32:AC32" si="40">+SUM(R24:R31)</f>
        <v>5893.6</v>
      </c>
      <c r="S32" s="6">
        <f t="shared" si="40"/>
        <v>5893.6</v>
      </c>
      <c r="T32" s="6">
        <f t="shared" si="40"/>
        <v>5893.6</v>
      </c>
      <c r="U32" s="6">
        <f t="shared" si="40"/>
        <v>5893.6</v>
      </c>
      <c r="V32" s="6">
        <f t="shared" si="40"/>
        <v>5893.6</v>
      </c>
      <c r="W32" s="6">
        <f t="shared" si="40"/>
        <v>5893.6</v>
      </c>
      <c r="X32" s="6">
        <f t="shared" si="40"/>
        <v>5893.6</v>
      </c>
      <c r="Y32" s="6">
        <f t="shared" si="40"/>
        <v>5893.6</v>
      </c>
      <c r="Z32" s="6">
        <f t="shared" si="40"/>
        <v>5893.6</v>
      </c>
      <c r="AA32" s="6">
        <f t="shared" si="40"/>
        <v>5893.6</v>
      </c>
      <c r="AB32" s="6">
        <f t="shared" si="40"/>
        <v>5893.6</v>
      </c>
      <c r="AC32" s="6">
        <f t="shared" si="40"/>
        <v>5893.6</v>
      </c>
      <c r="AD32" s="6">
        <f>+SUM(AD24:AD31)</f>
        <v>70723.199999999997</v>
      </c>
      <c r="AE32" s="6">
        <f t="shared" ref="AE32" si="41">+SUM(AE24:AE31)</f>
        <v>6339.04</v>
      </c>
      <c r="AF32" s="6">
        <f t="shared" ref="AF32" si="42">+SUM(AF24:AF31)</f>
        <v>6339.04</v>
      </c>
      <c r="AG32" s="6">
        <f t="shared" ref="AG32" si="43">+SUM(AG24:AG31)</f>
        <v>6339.04</v>
      </c>
      <c r="AH32" s="6">
        <f t="shared" ref="AH32" si="44">+SUM(AH24:AH31)</f>
        <v>6339.04</v>
      </c>
      <c r="AI32" s="6">
        <f t="shared" ref="AI32" si="45">+SUM(AI24:AI31)</f>
        <v>6339.04</v>
      </c>
      <c r="AJ32" s="6">
        <f t="shared" ref="AJ32" si="46">+SUM(AJ24:AJ31)</f>
        <v>6339.04</v>
      </c>
      <c r="AK32" s="6">
        <f t="shared" ref="AK32" si="47">+SUM(AK24:AK31)</f>
        <v>6339.04</v>
      </c>
      <c r="AL32" s="6">
        <f t="shared" ref="AL32" si="48">+SUM(AL24:AL31)</f>
        <v>6339.04</v>
      </c>
      <c r="AM32" s="6">
        <f t="shared" ref="AM32" si="49">+SUM(AM24:AM31)</f>
        <v>6339.04</v>
      </c>
      <c r="AN32" s="6">
        <f t="shared" ref="AN32" si="50">+SUM(AN24:AN31)</f>
        <v>6339.04</v>
      </c>
      <c r="AO32" s="6">
        <f t="shared" ref="AO32" si="51">+SUM(AO24:AO31)</f>
        <v>6339.04</v>
      </c>
      <c r="AP32" s="6">
        <f t="shared" ref="AP32" si="52">+SUM(AP24:AP31)</f>
        <v>6339.04</v>
      </c>
      <c r="AQ32" s="6">
        <f>+SUM(AQ24:AQ31)</f>
        <v>76442.880000000005</v>
      </c>
      <c r="AR32" s="6">
        <f t="shared" ref="AR32" si="53">+SUM(AR24:AR31)</f>
        <v>6339.04</v>
      </c>
      <c r="AS32" s="6">
        <f t="shared" ref="AS32" si="54">+SUM(AS24:AS31)</f>
        <v>6339.04</v>
      </c>
      <c r="AT32" s="6">
        <f t="shared" ref="AT32" si="55">+SUM(AT24:AT31)</f>
        <v>6339.04</v>
      </c>
      <c r="AU32" s="6">
        <f t="shared" ref="AU32" si="56">+SUM(AU24:AU31)</f>
        <v>6339.04</v>
      </c>
      <c r="AV32" s="6">
        <f t="shared" ref="AV32" si="57">+SUM(AV24:AV31)</f>
        <v>6339.04</v>
      </c>
      <c r="AW32" s="6">
        <f t="shared" ref="AW32" si="58">+SUM(AW24:AW31)</f>
        <v>6339.04</v>
      </c>
      <c r="AX32" s="6">
        <f t="shared" ref="AX32" si="59">+SUM(AX24:AX31)</f>
        <v>6339.04</v>
      </c>
      <c r="AY32" s="6">
        <f t="shared" ref="AY32" si="60">+SUM(AY24:AY31)</f>
        <v>6339.04</v>
      </c>
      <c r="AZ32" s="6">
        <f t="shared" ref="AZ32" si="61">+SUM(AZ24:AZ31)</f>
        <v>6339.04</v>
      </c>
      <c r="BA32" s="6">
        <f t="shared" ref="BA32" si="62">+SUM(BA24:BA31)</f>
        <v>6339.04</v>
      </c>
      <c r="BB32" s="6">
        <f t="shared" ref="BB32" si="63">+SUM(BB24:BB31)</f>
        <v>6339.04</v>
      </c>
      <c r="BC32" s="6">
        <f t="shared" ref="BC32" si="64">+SUM(BC24:BC31)</f>
        <v>6339.04</v>
      </c>
      <c r="BD32" s="6">
        <f>+SUM(BD24:BD31)</f>
        <v>79116.595199999996</v>
      </c>
      <c r="BE32" s="6">
        <f t="shared" ref="BE32" si="65">+SUM(BE24:BE31)</f>
        <v>6339.04</v>
      </c>
      <c r="BF32" s="6">
        <f t="shared" ref="BF32" si="66">+SUM(BF24:BF31)</f>
        <v>6339.04</v>
      </c>
      <c r="BG32" s="6">
        <f t="shared" ref="BG32" si="67">+SUM(BG24:BG31)</f>
        <v>6339.04</v>
      </c>
      <c r="BH32" s="6">
        <f t="shared" ref="BH32" si="68">+SUM(BH24:BH31)</f>
        <v>6339.04</v>
      </c>
      <c r="BI32" s="6">
        <f t="shared" ref="BI32" si="69">+SUM(BI24:BI31)</f>
        <v>6339.04</v>
      </c>
      <c r="BJ32" s="6">
        <f t="shared" ref="BJ32" si="70">+SUM(BJ24:BJ31)</f>
        <v>6339.04</v>
      </c>
      <c r="BK32" s="6">
        <f t="shared" ref="BK32" si="71">+SUM(BK24:BK31)</f>
        <v>6339.04</v>
      </c>
      <c r="BL32" s="6">
        <f t="shared" ref="BL32" si="72">+SUM(BL24:BL31)</f>
        <v>6339.04</v>
      </c>
      <c r="BM32" s="6">
        <f t="shared" ref="BM32" si="73">+SUM(BM24:BM31)</f>
        <v>6339.04</v>
      </c>
      <c r="BN32" s="6">
        <f t="shared" ref="BN32" si="74">+SUM(BN24:BN31)</f>
        <v>6339.04</v>
      </c>
      <c r="BO32" s="6">
        <f t="shared" ref="BO32" si="75">+SUM(BO24:BO31)</f>
        <v>6339.04</v>
      </c>
      <c r="BP32" s="6">
        <f t="shared" ref="BP32" si="76">+SUM(BP24:BP31)</f>
        <v>6339.04</v>
      </c>
      <c r="BQ32" s="6">
        <f>+SUM(BQ24:BQ31)</f>
        <v>81897.259008000008</v>
      </c>
      <c r="BR32" s="8"/>
    </row>
    <row r="33" spans="2:74" outlineLevel="2" x14ac:dyDescent="0.2">
      <c r="B33" s="1" t="s">
        <v>20</v>
      </c>
    </row>
    <row r="34" spans="2:74" outlineLevel="2" x14ac:dyDescent="0.2">
      <c r="C34" s="1" t="s">
        <v>47</v>
      </c>
      <c r="D34" s="4">
        <v>0</v>
      </c>
      <c r="E34" s="4">
        <f>+P34/12</f>
        <v>1054.1666666666667</v>
      </c>
      <c r="F34" s="4">
        <f>+E34</f>
        <v>1054.1666666666667</v>
      </c>
      <c r="G34" s="4">
        <f t="shared" ref="G34:O34" si="77">+F34</f>
        <v>1054.1666666666667</v>
      </c>
      <c r="H34" s="4">
        <f t="shared" si="77"/>
        <v>1054.1666666666667</v>
      </c>
      <c r="I34" s="4">
        <f t="shared" si="77"/>
        <v>1054.1666666666667</v>
      </c>
      <c r="J34" s="4">
        <f t="shared" si="77"/>
        <v>1054.1666666666667</v>
      </c>
      <c r="K34" s="4">
        <f t="shared" si="77"/>
        <v>1054.1666666666667</v>
      </c>
      <c r="L34" s="4">
        <f t="shared" si="77"/>
        <v>1054.1666666666667</v>
      </c>
      <c r="M34" s="4">
        <f t="shared" si="77"/>
        <v>1054.1666666666667</v>
      </c>
      <c r="N34" s="4">
        <f t="shared" si="77"/>
        <v>1054.1666666666667</v>
      </c>
      <c r="O34" s="4">
        <f t="shared" si="77"/>
        <v>1054.1666666666667</v>
      </c>
      <c r="P34" s="4">
        <f>+'Gastos Marketing'!C8</f>
        <v>12650</v>
      </c>
      <c r="Q34" s="4"/>
      <c r="R34" s="4">
        <f t="shared" ref="R34:AC38" si="78">+$AD34/12</f>
        <v>1206.3333333333333</v>
      </c>
      <c r="S34" s="4">
        <f t="shared" si="78"/>
        <v>1206.3333333333333</v>
      </c>
      <c r="T34" s="4">
        <f t="shared" si="78"/>
        <v>1206.3333333333333</v>
      </c>
      <c r="U34" s="4">
        <f t="shared" si="78"/>
        <v>1206.3333333333333</v>
      </c>
      <c r="V34" s="4">
        <f t="shared" si="78"/>
        <v>1206.3333333333333</v>
      </c>
      <c r="W34" s="4">
        <f t="shared" si="78"/>
        <v>1206.3333333333333</v>
      </c>
      <c r="X34" s="4">
        <f t="shared" si="78"/>
        <v>1206.3333333333333</v>
      </c>
      <c r="Y34" s="4">
        <f t="shared" si="78"/>
        <v>1206.3333333333333</v>
      </c>
      <c r="Z34" s="4">
        <f t="shared" si="78"/>
        <v>1206.3333333333333</v>
      </c>
      <c r="AA34" s="4">
        <f t="shared" si="78"/>
        <v>1206.3333333333333</v>
      </c>
      <c r="AB34" s="4">
        <f t="shared" si="78"/>
        <v>1206.3333333333333</v>
      </c>
      <c r="AC34" s="4">
        <f t="shared" si="78"/>
        <v>1206.3333333333333</v>
      </c>
      <c r="AD34" s="4">
        <f>+'Gastos Marketing'!D8</f>
        <v>14475.999999999998</v>
      </c>
      <c r="AE34" s="4">
        <f t="shared" ref="AE34:AR38" si="79">+$AQ34/12</f>
        <v>1381.0866666666664</v>
      </c>
      <c r="AF34" s="4">
        <f>+$AQ34/12</f>
        <v>1381.0866666666664</v>
      </c>
      <c r="AG34" s="4">
        <f t="shared" ref="AG34:AP38" si="80">+$AQ34/12</f>
        <v>1381.0866666666664</v>
      </c>
      <c r="AH34" s="4">
        <f t="shared" si="80"/>
        <v>1381.0866666666664</v>
      </c>
      <c r="AI34" s="4">
        <f t="shared" si="80"/>
        <v>1381.0866666666664</v>
      </c>
      <c r="AJ34" s="4">
        <f t="shared" si="80"/>
        <v>1381.0866666666664</v>
      </c>
      <c r="AK34" s="4">
        <f t="shared" si="80"/>
        <v>1381.0866666666664</v>
      </c>
      <c r="AL34" s="4">
        <f t="shared" si="80"/>
        <v>1381.0866666666664</v>
      </c>
      <c r="AM34" s="4">
        <f t="shared" si="80"/>
        <v>1381.0866666666664</v>
      </c>
      <c r="AN34" s="4">
        <f t="shared" si="80"/>
        <v>1381.0866666666664</v>
      </c>
      <c r="AO34" s="4">
        <f t="shared" si="80"/>
        <v>1381.0866666666664</v>
      </c>
      <c r="AP34" s="4">
        <f t="shared" si="80"/>
        <v>1381.0866666666664</v>
      </c>
      <c r="AQ34" s="4">
        <f>+'Gastos Marketing'!E8</f>
        <v>16573.039999999997</v>
      </c>
      <c r="AR34" s="4">
        <f t="shared" si="79"/>
        <v>1381.0866666666664</v>
      </c>
      <c r="AS34" s="4">
        <f>+$AQ34/12</f>
        <v>1381.0866666666664</v>
      </c>
      <c r="AT34" s="4">
        <f t="shared" ref="AT34:BC38" si="81">+$AQ34/12</f>
        <v>1381.0866666666664</v>
      </c>
      <c r="AU34" s="4">
        <f t="shared" si="81"/>
        <v>1381.0866666666664</v>
      </c>
      <c r="AV34" s="4">
        <f t="shared" si="81"/>
        <v>1381.0866666666664</v>
      </c>
      <c r="AW34" s="4">
        <f t="shared" si="81"/>
        <v>1381.0866666666664</v>
      </c>
      <c r="AX34" s="4">
        <f t="shared" si="81"/>
        <v>1381.0866666666664</v>
      </c>
      <c r="AY34" s="4">
        <f t="shared" si="81"/>
        <v>1381.0866666666664</v>
      </c>
      <c r="AZ34" s="4">
        <f t="shared" si="81"/>
        <v>1381.0866666666664</v>
      </c>
      <c r="BA34" s="4">
        <f t="shared" si="81"/>
        <v>1381.0866666666664</v>
      </c>
      <c r="BB34" s="4">
        <f t="shared" si="81"/>
        <v>1381.0866666666664</v>
      </c>
      <c r="BC34" s="4">
        <f t="shared" si="81"/>
        <v>1381.0866666666664</v>
      </c>
      <c r="BD34" s="4">
        <f>+'Gastos Marketing'!F8</f>
        <v>18981.661599999992</v>
      </c>
      <c r="BE34" s="4">
        <f t="shared" ref="BE34:BE38" si="82">+$AQ34/12</f>
        <v>1381.0866666666664</v>
      </c>
      <c r="BF34" s="4">
        <f>+$AQ34/12</f>
        <v>1381.0866666666664</v>
      </c>
      <c r="BG34" s="4">
        <f t="shared" ref="BG34:BP38" si="83">+$AQ34/12</f>
        <v>1381.0866666666664</v>
      </c>
      <c r="BH34" s="4">
        <f t="shared" si="83"/>
        <v>1381.0866666666664</v>
      </c>
      <c r="BI34" s="4">
        <f t="shared" si="83"/>
        <v>1381.0866666666664</v>
      </c>
      <c r="BJ34" s="4">
        <f t="shared" si="83"/>
        <v>1381.0866666666664</v>
      </c>
      <c r="BK34" s="4">
        <f t="shared" si="83"/>
        <v>1381.0866666666664</v>
      </c>
      <c r="BL34" s="4">
        <f t="shared" si="83"/>
        <v>1381.0866666666664</v>
      </c>
      <c r="BM34" s="4">
        <f t="shared" si="83"/>
        <v>1381.0866666666664</v>
      </c>
      <c r="BN34" s="4">
        <f t="shared" si="83"/>
        <v>1381.0866666666664</v>
      </c>
      <c r="BO34" s="4">
        <f t="shared" si="83"/>
        <v>1381.0866666666664</v>
      </c>
      <c r="BP34" s="4">
        <f t="shared" si="83"/>
        <v>1381.0866666666664</v>
      </c>
      <c r="BQ34" s="4">
        <f>+'Gastos Marketing'!G8</f>
        <v>21748.483063999989</v>
      </c>
      <c r="BR34" s="7"/>
    </row>
    <row r="35" spans="2:74" outlineLevel="2" x14ac:dyDescent="0.2">
      <c r="C35" s="1" t="s">
        <v>48</v>
      </c>
      <c r="D35" s="4">
        <v>0</v>
      </c>
      <c r="E35" s="4">
        <v>150</v>
      </c>
      <c r="F35" s="4">
        <f>+E35</f>
        <v>150</v>
      </c>
      <c r="G35" s="4">
        <f t="shared" ref="G35:O35" si="84">+F35</f>
        <v>150</v>
      </c>
      <c r="H35" s="4">
        <f t="shared" si="84"/>
        <v>150</v>
      </c>
      <c r="I35" s="4">
        <f t="shared" si="84"/>
        <v>150</v>
      </c>
      <c r="J35" s="4">
        <f t="shared" si="84"/>
        <v>150</v>
      </c>
      <c r="K35" s="4">
        <f t="shared" si="84"/>
        <v>150</v>
      </c>
      <c r="L35" s="4">
        <f t="shared" si="84"/>
        <v>150</v>
      </c>
      <c r="M35" s="4">
        <f t="shared" si="84"/>
        <v>150</v>
      </c>
      <c r="N35" s="4">
        <f t="shared" si="84"/>
        <v>150</v>
      </c>
      <c r="O35" s="4">
        <f t="shared" si="84"/>
        <v>150</v>
      </c>
      <c r="P35" s="4">
        <f>+SUM(D35:O35)</f>
        <v>1650</v>
      </c>
      <c r="Q35" s="4"/>
      <c r="R35" s="4">
        <f t="shared" si="78"/>
        <v>143</v>
      </c>
      <c r="S35" s="4">
        <f t="shared" si="78"/>
        <v>143</v>
      </c>
      <c r="T35" s="4">
        <f t="shared" si="78"/>
        <v>143</v>
      </c>
      <c r="U35" s="4">
        <f t="shared" si="78"/>
        <v>143</v>
      </c>
      <c r="V35" s="4">
        <f t="shared" si="78"/>
        <v>143</v>
      </c>
      <c r="W35" s="4">
        <f t="shared" si="78"/>
        <v>143</v>
      </c>
      <c r="X35" s="4">
        <f t="shared" si="78"/>
        <v>143</v>
      </c>
      <c r="Y35" s="4">
        <f t="shared" si="78"/>
        <v>143</v>
      </c>
      <c r="Z35" s="4">
        <f t="shared" si="78"/>
        <v>143</v>
      </c>
      <c r="AA35" s="4">
        <f t="shared" si="78"/>
        <v>143</v>
      </c>
      <c r="AB35" s="4">
        <f t="shared" si="78"/>
        <v>143</v>
      </c>
      <c r="AC35" s="4">
        <f t="shared" si="78"/>
        <v>143</v>
      </c>
      <c r="AD35" s="4">
        <f>+P35*(1+$D$80)^1</f>
        <v>1716</v>
      </c>
      <c r="AE35" s="4">
        <f t="shared" si="79"/>
        <v>148.72</v>
      </c>
      <c r="AF35" s="4">
        <f>+$AQ35/12</f>
        <v>148.72</v>
      </c>
      <c r="AG35" s="4">
        <f t="shared" si="80"/>
        <v>148.72</v>
      </c>
      <c r="AH35" s="4">
        <f t="shared" si="80"/>
        <v>148.72</v>
      </c>
      <c r="AI35" s="4">
        <f t="shared" si="80"/>
        <v>148.72</v>
      </c>
      <c r="AJ35" s="4">
        <f t="shared" si="80"/>
        <v>148.72</v>
      </c>
      <c r="AK35" s="4">
        <f t="shared" si="80"/>
        <v>148.72</v>
      </c>
      <c r="AL35" s="4">
        <f t="shared" si="80"/>
        <v>148.72</v>
      </c>
      <c r="AM35" s="4">
        <f t="shared" si="80"/>
        <v>148.72</v>
      </c>
      <c r="AN35" s="4">
        <f t="shared" si="80"/>
        <v>148.72</v>
      </c>
      <c r="AO35" s="4">
        <f t="shared" si="80"/>
        <v>148.72</v>
      </c>
      <c r="AP35" s="4">
        <f t="shared" si="80"/>
        <v>148.72</v>
      </c>
      <c r="AQ35" s="4">
        <f>+AD35*(1+$D$80)^1</f>
        <v>1784.64</v>
      </c>
      <c r="AR35" s="4">
        <f t="shared" si="79"/>
        <v>148.72</v>
      </c>
      <c r="AS35" s="4">
        <f>+$AQ35/12</f>
        <v>148.72</v>
      </c>
      <c r="AT35" s="4">
        <f t="shared" si="81"/>
        <v>148.72</v>
      </c>
      <c r="AU35" s="4">
        <f t="shared" si="81"/>
        <v>148.72</v>
      </c>
      <c r="AV35" s="4">
        <f t="shared" si="81"/>
        <v>148.72</v>
      </c>
      <c r="AW35" s="4">
        <f t="shared" si="81"/>
        <v>148.72</v>
      </c>
      <c r="AX35" s="4">
        <f t="shared" si="81"/>
        <v>148.72</v>
      </c>
      <c r="AY35" s="4">
        <f t="shared" si="81"/>
        <v>148.72</v>
      </c>
      <c r="AZ35" s="4">
        <f t="shared" si="81"/>
        <v>148.72</v>
      </c>
      <c r="BA35" s="4">
        <f t="shared" si="81"/>
        <v>148.72</v>
      </c>
      <c r="BB35" s="4">
        <f t="shared" si="81"/>
        <v>148.72</v>
      </c>
      <c r="BC35" s="4">
        <f t="shared" si="81"/>
        <v>148.72</v>
      </c>
      <c r="BD35" s="4">
        <f>+AQ35*(1+$D$80)^1</f>
        <v>1856.0256000000002</v>
      </c>
      <c r="BE35" s="4">
        <f t="shared" si="82"/>
        <v>148.72</v>
      </c>
      <c r="BF35" s="4">
        <f>+$AQ35/12</f>
        <v>148.72</v>
      </c>
      <c r="BG35" s="4">
        <f t="shared" si="83"/>
        <v>148.72</v>
      </c>
      <c r="BH35" s="4">
        <f t="shared" si="83"/>
        <v>148.72</v>
      </c>
      <c r="BI35" s="4">
        <f t="shared" si="83"/>
        <v>148.72</v>
      </c>
      <c r="BJ35" s="4">
        <f t="shared" si="83"/>
        <v>148.72</v>
      </c>
      <c r="BK35" s="4">
        <f t="shared" si="83"/>
        <v>148.72</v>
      </c>
      <c r="BL35" s="4">
        <f t="shared" si="83"/>
        <v>148.72</v>
      </c>
      <c r="BM35" s="4">
        <f t="shared" si="83"/>
        <v>148.72</v>
      </c>
      <c r="BN35" s="4">
        <f t="shared" si="83"/>
        <v>148.72</v>
      </c>
      <c r="BO35" s="4">
        <f t="shared" si="83"/>
        <v>148.72</v>
      </c>
      <c r="BP35" s="4">
        <f t="shared" si="83"/>
        <v>148.72</v>
      </c>
      <c r="BQ35" s="4">
        <f>+BD35*(1+$D$80)^1</f>
        <v>1930.2666240000003</v>
      </c>
      <c r="BR35" s="7"/>
    </row>
    <row r="36" spans="2:74" outlineLevel="2" x14ac:dyDescent="0.2">
      <c r="C36" s="1" t="s">
        <v>229</v>
      </c>
      <c r="D36" s="4">
        <v>0</v>
      </c>
      <c r="E36" s="4">
        <f>+$D$86*E68</f>
        <v>5.415</v>
      </c>
      <c r="F36" s="4">
        <f t="shared" ref="F36:O36" si="85">+$D$86*F68</f>
        <v>31.079843749999998</v>
      </c>
      <c r="G36" s="4">
        <f t="shared" si="85"/>
        <v>75.931718750000002</v>
      </c>
      <c r="H36" s="4">
        <f t="shared" si="85"/>
        <v>157.54859375000001</v>
      </c>
      <c r="I36" s="4">
        <f t="shared" si="85"/>
        <v>167.19703125000001</v>
      </c>
      <c r="J36" s="4">
        <f t="shared" si="85"/>
        <v>183.98531249999999</v>
      </c>
      <c r="K36" s="4">
        <f t="shared" si="85"/>
        <v>192.09</v>
      </c>
      <c r="L36" s="4">
        <f t="shared" si="85"/>
        <v>192.09</v>
      </c>
      <c r="M36" s="4">
        <f t="shared" si="85"/>
        <v>192.09</v>
      </c>
      <c r="N36" s="4">
        <f t="shared" si="85"/>
        <v>192.09</v>
      </c>
      <c r="O36" s="4">
        <f t="shared" si="85"/>
        <v>192.09</v>
      </c>
      <c r="P36" s="4">
        <f>+SUM(D36:O36)</f>
        <v>1581.6074999999998</v>
      </c>
      <c r="Q36" s="4"/>
      <c r="R36" s="4">
        <f t="shared" ref="R36:BP36" si="86">+$D$86*R68</f>
        <v>198.93</v>
      </c>
      <c r="S36" s="4">
        <f t="shared" si="86"/>
        <v>231.34875</v>
      </c>
      <c r="T36" s="4">
        <f t="shared" si="86"/>
        <v>286.92374999999998</v>
      </c>
      <c r="U36" s="4">
        <f t="shared" si="86"/>
        <v>384.18</v>
      </c>
      <c r="V36" s="4">
        <f t="shared" si="86"/>
        <v>384.18</v>
      </c>
      <c r="W36" s="4">
        <f t="shared" si="86"/>
        <v>384.18</v>
      </c>
      <c r="X36" s="4">
        <f t="shared" si="86"/>
        <v>384.18</v>
      </c>
      <c r="Y36" s="4">
        <f t="shared" si="86"/>
        <v>384.18</v>
      </c>
      <c r="Z36" s="4">
        <f t="shared" si="86"/>
        <v>384.18</v>
      </c>
      <c r="AA36" s="4">
        <f t="shared" si="86"/>
        <v>384.18</v>
      </c>
      <c r="AB36" s="4">
        <f t="shared" si="86"/>
        <v>384.18</v>
      </c>
      <c r="AC36" s="4">
        <f t="shared" si="86"/>
        <v>384.18</v>
      </c>
      <c r="AD36" s="4">
        <f>+P36*(1+$D$80)^1</f>
        <v>1644.8717999999999</v>
      </c>
      <c r="AE36" s="4">
        <f t="shared" si="86"/>
        <v>388.28399999999999</v>
      </c>
      <c r="AF36" s="4">
        <f t="shared" si="86"/>
        <v>407.73525000000001</v>
      </c>
      <c r="AG36" s="4">
        <f t="shared" si="86"/>
        <v>441.08024999999998</v>
      </c>
      <c r="AH36" s="4">
        <f t="shared" si="86"/>
        <v>499.43399999999997</v>
      </c>
      <c r="AI36" s="4">
        <f t="shared" si="86"/>
        <v>499.43399999999997</v>
      </c>
      <c r="AJ36" s="4">
        <f t="shared" si="86"/>
        <v>499.43399999999997</v>
      </c>
      <c r="AK36" s="4">
        <f t="shared" si="86"/>
        <v>499.43399999999997</v>
      </c>
      <c r="AL36" s="4">
        <f t="shared" si="86"/>
        <v>499.43399999999997</v>
      </c>
      <c r="AM36" s="4">
        <f t="shared" si="86"/>
        <v>499.43399999999997</v>
      </c>
      <c r="AN36" s="4">
        <f t="shared" si="86"/>
        <v>499.43399999999997</v>
      </c>
      <c r="AO36" s="4">
        <f t="shared" si="86"/>
        <v>499.43399999999997</v>
      </c>
      <c r="AP36" s="4">
        <f t="shared" si="86"/>
        <v>499.43399999999997</v>
      </c>
      <c r="AQ36" s="4">
        <f>+AD36*(1+$D$80)^1</f>
        <v>1710.6666719999998</v>
      </c>
      <c r="AR36" s="4">
        <f t="shared" si="86"/>
        <v>504.79199999999997</v>
      </c>
      <c r="AS36" s="4">
        <f t="shared" si="86"/>
        <v>530.18668749999995</v>
      </c>
      <c r="AT36" s="4">
        <f t="shared" si="86"/>
        <v>573.7204375</v>
      </c>
      <c r="AU36" s="4">
        <f t="shared" si="86"/>
        <v>649.90449999999998</v>
      </c>
      <c r="AV36" s="4">
        <f t="shared" si="86"/>
        <v>649.90449999999998</v>
      </c>
      <c r="AW36" s="4">
        <f t="shared" si="86"/>
        <v>649.90449999999998</v>
      </c>
      <c r="AX36" s="4">
        <f t="shared" si="86"/>
        <v>649.90449999999998</v>
      </c>
      <c r="AY36" s="4">
        <f t="shared" si="86"/>
        <v>649.90449999999998</v>
      </c>
      <c r="AZ36" s="4">
        <f t="shared" si="86"/>
        <v>649.90449999999998</v>
      </c>
      <c r="BA36" s="4">
        <f t="shared" si="86"/>
        <v>649.90449999999998</v>
      </c>
      <c r="BB36" s="4">
        <f t="shared" si="86"/>
        <v>649.90449999999998</v>
      </c>
      <c r="BC36" s="4">
        <f t="shared" si="86"/>
        <v>649.90449999999998</v>
      </c>
      <c r="BD36" s="4">
        <f>+AQ36*(1+$D$80)^1</f>
        <v>1779.0933388799999</v>
      </c>
      <c r="BE36" s="4">
        <f t="shared" si="86"/>
        <v>656.85849999999994</v>
      </c>
      <c r="BF36" s="4">
        <f t="shared" si="86"/>
        <v>689.81756250000001</v>
      </c>
      <c r="BG36" s="4">
        <f t="shared" si="86"/>
        <v>746.31881250000004</v>
      </c>
      <c r="BH36" s="4">
        <f t="shared" si="86"/>
        <v>845.19600000000003</v>
      </c>
      <c r="BI36" s="4">
        <f t="shared" si="86"/>
        <v>845.19600000000003</v>
      </c>
      <c r="BJ36" s="4">
        <f t="shared" si="86"/>
        <v>845.19600000000003</v>
      </c>
      <c r="BK36" s="4">
        <f t="shared" si="86"/>
        <v>845.19600000000003</v>
      </c>
      <c r="BL36" s="4">
        <f t="shared" si="86"/>
        <v>845.19600000000003</v>
      </c>
      <c r="BM36" s="4">
        <f t="shared" si="86"/>
        <v>845.19600000000003</v>
      </c>
      <c r="BN36" s="4">
        <f t="shared" si="86"/>
        <v>834.66239999999993</v>
      </c>
      <c r="BO36" s="4">
        <f t="shared" si="86"/>
        <v>772.02196500000002</v>
      </c>
      <c r="BP36" s="4">
        <f t="shared" si="86"/>
        <v>619.32316874999992</v>
      </c>
      <c r="BQ36" s="4">
        <f>+BD36*(1+$D$80)^1</f>
        <v>1850.2570724351999</v>
      </c>
      <c r="BR36" s="7"/>
    </row>
    <row r="37" spans="2:74" outlineLevel="2" x14ac:dyDescent="0.2">
      <c r="C37" s="1" t="s">
        <v>160</v>
      </c>
      <c r="D37" s="4">
        <v>0</v>
      </c>
      <c r="E37" s="4">
        <v>50</v>
      </c>
      <c r="F37" s="4">
        <v>50</v>
      </c>
      <c r="G37" s="4">
        <v>150</v>
      </c>
      <c r="H37" s="4">
        <v>150</v>
      </c>
      <c r="I37" s="4">
        <v>150</v>
      </c>
      <c r="J37" s="4">
        <v>150</v>
      </c>
      <c r="K37" s="4">
        <v>150</v>
      </c>
      <c r="L37" s="4">
        <v>150</v>
      </c>
      <c r="M37" s="4">
        <v>150</v>
      </c>
      <c r="N37" s="4">
        <v>150</v>
      </c>
      <c r="O37" s="4">
        <v>150</v>
      </c>
      <c r="P37" s="4">
        <f>+SUM(D37:O37)</f>
        <v>1450</v>
      </c>
      <c r="Q37" s="4"/>
      <c r="R37" s="4">
        <f t="shared" si="78"/>
        <v>157.08333333333334</v>
      </c>
      <c r="S37" s="4">
        <f t="shared" si="78"/>
        <v>157.08333333333334</v>
      </c>
      <c r="T37" s="4">
        <f t="shared" si="78"/>
        <v>157.08333333333334</v>
      </c>
      <c r="U37" s="4">
        <f t="shared" si="78"/>
        <v>157.08333333333334</v>
      </c>
      <c r="V37" s="4">
        <f t="shared" si="78"/>
        <v>157.08333333333334</v>
      </c>
      <c r="W37" s="4">
        <f t="shared" si="78"/>
        <v>157.08333333333334</v>
      </c>
      <c r="X37" s="4">
        <f t="shared" si="78"/>
        <v>157.08333333333334</v>
      </c>
      <c r="Y37" s="4">
        <f t="shared" si="78"/>
        <v>157.08333333333334</v>
      </c>
      <c r="Z37" s="4">
        <f t="shared" si="78"/>
        <v>157.08333333333334</v>
      </c>
      <c r="AA37" s="4">
        <f t="shared" si="78"/>
        <v>157.08333333333334</v>
      </c>
      <c r="AB37" s="4">
        <f t="shared" si="78"/>
        <v>157.08333333333334</v>
      </c>
      <c r="AC37" s="4">
        <f t="shared" si="78"/>
        <v>157.08333333333334</v>
      </c>
      <c r="AD37" s="4">
        <f>+P37*1.3</f>
        <v>1885</v>
      </c>
      <c r="AE37" s="4">
        <f t="shared" si="79"/>
        <v>157.08333333333334</v>
      </c>
      <c r="AF37" s="4">
        <f>+$AQ37/12</f>
        <v>157.08333333333334</v>
      </c>
      <c r="AG37" s="4">
        <f t="shared" si="80"/>
        <v>157.08333333333334</v>
      </c>
      <c r="AH37" s="4">
        <f t="shared" si="80"/>
        <v>157.08333333333334</v>
      </c>
      <c r="AI37" s="4">
        <f t="shared" si="80"/>
        <v>157.08333333333334</v>
      </c>
      <c r="AJ37" s="4">
        <f t="shared" si="80"/>
        <v>157.08333333333334</v>
      </c>
      <c r="AK37" s="4">
        <f t="shared" si="80"/>
        <v>157.08333333333334</v>
      </c>
      <c r="AL37" s="4">
        <f t="shared" si="80"/>
        <v>157.08333333333334</v>
      </c>
      <c r="AM37" s="4">
        <f t="shared" si="80"/>
        <v>157.08333333333334</v>
      </c>
      <c r="AN37" s="4">
        <f t="shared" si="80"/>
        <v>157.08333333333334</v>
      </c>
      <c r="AO37" s="4">
        <f t="shared" si="80"/>
        <v>157.08333333333334</v>
      </c>
      <c r="AP37" s="4">
        <f t="shared" si="80"/>
        <v>157.08333333333334</v>
      </c>
      <c r="AQ37" s="4">
        <f>+AD37</f>
        <v>1885</v>
      </c>
      <c r="AR37" s="4">
        <f t="shared" si="79"/>
        <v>157.08333333333334</v>
      </c>
      <c r="AS37" s="4">
        <f>+$AQ37/12</f>
        <v>157.08333333333334</v>
      </c>
      <c r="AT37" s="4">
        <f t="shared" si="81"/>
        <v>157.08333333333334</v>
      </c>
      <c r="AU37" s="4">
        <f t="shared" si="81"/>
        <v>157.08333333333334</v>
      </c>
      <c r="AV37" s="4">
        <f t="shared" si="81"/>
        <v>157.08333333333334</v>
      </c>
      <c r="AW37" s="4">
        <f t="shared" si="81"/>
        <v>157.08333333333334</v>
      </c>
      <c r="AX37" s="4">
        <f t="shared" si="81"/>
        <v>157.08333333333334</v>
      </c>
      <c r="AY37" s="4">
        <f t="shared" si="81"/>
        <v>157.08333333333334</v>
      </c>
      <c r="AZ37" s="4">
        <f t="shared" si="81"/>
        <v>157.08333333333334</v>
      </c>
      <c r="BA37" s="4">
        <f t="shared" si="81"/>
        <v>157.08333333333334</v>
      </c>
      <c r="BB37" s="4">
        <f t="shared" si="81"/>
        <v>157.08333333333334</v>
      </c>
      <c r="BC37" s="4">
        <f t="shared" si="81"/>
        <v>157.08333333333334</v>
      </c>
      <c r="BD37" s="4">
        <f>+AQ37*1.3</f>
        <v>2450.5</v>
      </c>
      <c r="BE37" s="4">
        <f t="shared" si="82"/>
        <v>157.08333333333334</v>
      </c>
      <c r="BF37" s="4">
        <f>+$AQ37/12</f>
        <v>157.08333333333334</v>
      </c>
      <c r="BG37" s="4">
        <f t="shared" si="83"/>
        <v>157.08333333333334</v>
      </c>
      <c r="BH37" s="4">
        <f t="shared" si="83"/>
        <v>157.08333333333334</v>
      </c>
      <c r="BI37" s="4">
        <f t="shared" si="83"/>
        <v>157.08333333333334</v>
      </c>
      <c r="BJ37" s="4">
        <f t="shared" si="83"/>
        <v>157.08333333333334</v>
      </c>
      <c r="BK37" s="4">
        <f t="shared" si="83"/>
        <v>157.08333333333334</v>
      </c>
      <c r="BL37" s="4">
        <f t="shared" si="83"/>
        <v>157.08333333333334</v>
      </c>
      <c r="BM37" s="4">
        <f t="shared" si="83"/>
        <v>157.08333333333334</v>
      </c>
      <c r="BN37" s="4">
        <f t="shared" si="83"/>
        <v>157.08333333333334</v>
      </c>
      <c r="BO37" s="4">
        <f t="shared" si="83"/>
        <v>157.08333333333334</v>
      </c>
      <c r="BP37" s="4">
        <f t="shared" si="83"/>
        <v>157.08333333333334</v>
      </c>
      <c r="BQ37" s="4">
        <f>+BD37</f>
        <v>2450.5</v>
      </c>
      <c r="BR37" s="7"/>
    </row>
    <row r="38" spans="2:74" outlineLevel="2" x14ac:dyDescent="0.2">
      <c r="C38" s="1" t="s">
        <v>162</v>
      </c>
      <c r="D38" s="4">
        <v>0</v>
      </c>
      <c r="E38" s="4">
        <f t="shared" ref="E38:O38" si="87">+E48*$D$83</f>
        <v>123.5</v>
      </c>
      <c r="F38" s="4">
        <f t="shared" si="87"/>
        <v>123.5</v>
      </c>
      <c r="G38" s="4">
        <f t="shared" si="87"/>
        <v>143</v>
      </c>
      <c r="H38" s="4">
        <f t="shared" si="87"/>
        <v>156</v>
      </c>
      <c r="I38" s="4">
        <f t="shared" si="87"/>
        <v>156</v>
      </c>
      <c r="J38" s="4">
        <f t="shared" si="87"/>
        <v>156</v>
      </c>
      <c r="K38" s="4">
        <f t="shared" si="87"/>
        <v>156</v>
      </c>
      <c r="L38" s="4">
        <f t="shared" si="87"/>
        <v>156</v>
      </c>
      <c r="M38" s="4">
        <f t="shared" si="87"/>
        <v>156</v>
      </c>
      <c r="N38" s="4">
        <f t="shared" si="87"/>
        <v>156</v>
      </c>
      <c r="O38" s="4">
        <f t="shared" si="87"/>
        <v>156</v>
      </c>
      <c r="P38" s="4">
        <f>+SUM(D38:O38)</f>
        <v>1638</v>
      </c>
      <c r="Q38" s="4"/>
      <c r="R38" s="4">
        <f t="shared" si="78"/>
        <v>312</v>
      </c>
      <c r="S38" s="4">
        <f t="shared" si="78"/>
        <v>312</v>
      </c>
      <c r="T38" s="4">
        <f t="shared" si="78"/>
        <v>312</v>
      </c>
      <c r="U38" s="4">
        <f t="shared" si="78"/>
        <v>312</v>
      </c>
      <c r="V38" s="4">
        <f t="shared" si="78"/>
        <v>312</v>
      </c>
      <c r="W38" s="4">
        <f t="shared" si="78"/>
        <v>312</v>
      </c>
      <c r="X38" s="4">
        <f t="shared" si="78"/>
        <v>312</v>
      </c>
      <c r="Y38" s="4">
        <f t="shared" si="78"/>
        <v>312</v>
      </c>
      <c r="Z38" s="4">
        <f t="shared" si="78"/>
        <v>312</v>
      </c>
      <c r="AA38" s="4">
        <f t="shared" si="78"/>
        <v>312</v>
      </c>
      <c r="AB38" s="4">
        <f t="shared" si="78"/>
        <v>312</v>
      </c>
      <c r="AC38" s="4">
        <f t="shared" si="78"/>
        <v>312</v>
      </c>
      <c r="AD38" s="4">
        <f>+AD48*$D$83</f>
        <v>3744</v>
      </c>
      <c r="AE38" s="4">
        <f t="shared" si="79"/>
        <v>405.59999999999997</v>
      </c>
      <c r="AF38" s="4">
        <f>+$AQ38/12</f>
        <v>405.59999999999997</v>
      </c>
      <c r="AG38" s="4">
        <f t="shared" si="80"/>
        <v>405.59999999999997</v>
      </c>
      <c r="AH38" s="4">
        <f t="shared" si="80"/>
        <v>405.59999999999997</v>
      </c>
      <c r="AI38" s="4">
        <f t="shared" si="80"/>
        <v>405.59999999999997</v>
      </c>
      <c r="AJ38" s="4">
        <f t="shared" si="80"/>
        <v>405.59999999999997</v>
      </c>
      <c r="AK38" s="4">
        <f t="shared" si="80"/>
        <v>405.59999999999997</v>
      </c>
      <c r="AL38" s="4">
        <f t="shared" si="80"/>
        <v>405.59999999999997</v>
      </c>
      <c r="AM38" s="4">
        <f t="shared" si="80"/>
        <v>405.59999999999997</v>
      </c>
      <c r="AN38" s="4">
        <f t="shared" si="80"/>
        <v>405.59999999999997</v>
      </c>
      <c r="AO38" s="4">
        <f t="shared" si="80"/>
        <v>405.59999999999997</v>
      </c>
      <c r="AP38" s="4">
        <f t="shared" si="80"/>
        <v>405.59999999999997</v>
      </c>
      <c r="AQ38" s="4">
        <f>+AQ48*$D$83</f>
        <v>4867.2</v>
      </c>
      <c r="AR38" s="4">
        <f t="shared" si="79"/>
        <v>405.59999999999997</v>
      </c>
      <c r="AS38" s="4">
        <f>+$AQ38/12</f>
        <v>405.59999999999997</v>
      </c>
      <c r="AT38" s="4">
        <f t="shared" si="81"/>
        <v>405.59999999999997</v>
      </c>
      <c r="AU38" s="4">
        <f t="shared" si="81"/>
        <v>405.59999999999997</v>
      </c>
      <c r="AV38" s="4">
        <f t="shared" si="81"/>
        <v>405.59999999999997</v>
      </c>
      <c r="AW38" s="4">
        <f t="shared" si="81"/>
        <v>405.59999999999997</v>
      </c>
      <c r="AX38" s="4">
        <f t="shared" si="81"/>
        <v>405.59999999999997</v>
      </c>
      <c r="AY38" s="4">
        <f t="shared" si="81"/>
        <v>405.59999999999997</v>
      </c>
      <c r="AZ38" s="4">
        <f t="shared" si="81"/>
        <v>405.59999999999997</v>
      </c>
      <c r="BA38" s="4">
        <f t="shared" si="81"/>
        <v>405.59999999999997</v>
      </c>
      <c r="BB38" s="4">
        <f t="shared" si="81"/>
        <v>405.59999999999997</v>
      </c>
      <c r="BC38" s="4">
        <f t="shared" si="81"/>
        <v>405.59999999999997</v>
      </c>
      <c r="BD38" s="4">
        <f>+BD48*$D$83</f>
        <v>6333.6</v>
      </c>
      <c r="BE38" s="4">
        <f t="shared" si="82"/>
        <v>405.59999999999997</v>
      </c>
      <c r="BF38" s="4">
        <f>+$AQ38/12</f>
        <v>405.59999999999997</v>
      </c>
      <c r="BG38" s="4">
        <f t="shared" si="83"/>
        <v>405.59999999999997</v>
      </c>
      <c r="BH38" s="4">
        <f t="shared" si="83"/>
        <v>405.59999999999997</v>
      </c>
      <c r="BI38" s="4">
        <f t="shared" si="83"/>
        <v>405.59999999999997</v>
      </c>
      <c r="BJ38" s="4">
        <f t="shared" si="83"/>
        <v>405.59999999999997</v>
      </c>
      <c r="BK38" s="4">
        <f t="shared" si="83"/>
        <v>405.59999999999997</v>
      </c>
      <c r="BL38" s="4">
        <f t="shared" si="83"/>
        <v>405.59999999999997</v>
      </c>
      <c r="BM38" s="4">
        <f t="shared" si="83"/>
        <v>405.59999999999997</v>
      </c>
      <c r="BN38" s="4">
        <f t="shared" si="83"/>
        <v>405.59999999999997</v>
      </c>
      <c r="BO38" s="4">
        <f t="shared" si="83"/>
        <v>405.59999999999997</v>
      </c>
      <c r="BP38" s="4">
        <f t="shared" si="83"/>
        <v>405.59999999999997</v>
      </c>
      <c r="BQ38" s="4">
        <f>+BQ48*$D$83</f>
        <v>6779.9160000000002</v>
      </c>
      <c r="BR38" s="7"/>
    </row>
    <row r="39" spans="2:74" outlineLevel="2" x14ac:dyDescent="0.2">
      <c r="C39" s="2" t="s">
        <v>21</v>
      </c>
      <c r="D39" s="6">
        <f t="shared" ref="D39:M39" si="88">+SUM(D34:D38)</f>
        <v>0</v>
      </c>
      <c r="E39" s="6">
        <f t="shared" si="88"/>
        <v>1383.0816666666667</v>
      </c>
      <c r="F39" s="6">
        <f>+SUM(F34:F38)</f>
        <v>1408.7465104166668</v>
      </c>
      <c r="G39" s="6">
        <f t="shared" si="88"/>
        <v>1573.0983854166668</v>
      </c>
      <c r="H39" s="6">
        <f t="shared" si="88"/>
        <v>1667.7152604166668</v>
      </c>
      <c r="I39" s="6">
        <f t="shared" si="88"/>
        <v>1677.3636979166668</v>
      </c>
      <c r="J39" s="6">
        <f t="shared" si="88"/>
        <v>1694.1519791666667</v>
      </c>
      <c r="K39" s="6">
        <f t="shared" si="88"/>
        <v>1702.2566666666667</v>
      </c>
      <c r="L39" s="6">
        <f>+SUM(L34:L38)</f>
        <v>1702.2566666666667</v>
      </c>
      <c r="M39" s="6">
        <f t="shared" si="88"/>
        <v>1702.2566666666667</v>
      </c>
      <c r="N39" s="6">
        <f>+SUM(N34:N38)</f>
        <v>1702.2566666666667</v>
      </c>
      <c r="O39" s="6">
        <f>+SUM(O34:O38)</f>
        <v>1702.2566666666667</v>
      </c>
      <c r="P39" s="6">
        <f>+SUM(P34:P38)</f>
        <v>18969.607499999998</v>
      </c>
      <c r="Q39" s="6"/>
      <c r="R39" s="6">
        <f t="shared" ref="R39" si="89">+SUM(R34:R38)</f>
        <v>2017.3466666666666</v>
      </c>
      <c r="S39" s="6">
        <f t="shared" ref="S39" si="90">+SUM(S34:S38)</f>
        <v>2049.7654166666662</v>
      </c>
      <c r="T39" s="6">
        <f t="shared" ref="T39" si="91">+SUM(T34:T38)</f>
        <v>2105.3404166666664</v>
      </c>
      <c r="U39" s="6">
        <f t="shared" ref="U39" si="92">+SUM(U34:U38)</f>
        <v>2202.5966666666664</v>
      </c>
      <c r="V39" s="6">
        <f t="shared" ref="V39" si="93">+SUM(V34:V38)</f>
        <v>2202.5966666666664</v>
      </c>
      <c r="W39" s="6">
        <f t="shared" ref="W39" si="94">+SUM(W34:W38)</f>
        <v>2202.5966666666664</v>
      </c>
      <c r="X39" s="6">
        <f t="shared" ref="X39" si="95">+SUM(X34:X38)</f>
        <v>2202.5966666666664</v>
      </c>
      <c r="Y39" s="6">
        <f t="shared" ref="Y39" si="96">+SUM(Y34:Y38)</f>
        <v>2202.5966666666664</v>
      </c>
      <c r="Z39" s="6">
        <f t="shared" ref="Z39" si="97">+SUM(Z34:Z38)</f>
        <v>2202.5966666666664</v>
      </c>
      <c r="AA39" s="6">
        <f t="shared" ref="AA39" si="98">+SUM(AA34:AA38)</f>
        <v>2202.5966666666664</v>
      </c>
      <c r="AB39" s="6">
        <f t="shared" ref="AB39" si="99">+SUM(AB34:AB38)</f>
        <v>2202.5966666666664</v>
      </c>
      <c r="AC39" s="6">
        <f>+SUM(AC34:AC38)</f>
        <v>2202.5966666666664</v>
      </c>
      <c r="AD39" s="6">
        <f>+SUM(AD34:AD38)</f>
        <v>23465.871799999997</v>
      </c>
      <c r="AE39" s="6">
        <f t="shared" ref="AE39" si="100">+SUM(AE34:AE38)</f>
        <v>2480.7739999999999</v>
      </c>
      <c r="AF39" s="6">
        <f t="shared" ref="AF39" si="101">+SUM(AF34:AF38)</f>
        <v>2500.2252499999995</v>
      </c>
      <c r="AG39" s="6">
        <f t="shared" ref="AG39" si="102">+SUM(AG34:AG38)</f>
        <v>2533.5702499999998</v>
      </c>
      <c r="AH39" s="6">
        <f t="shared" ref="AH39" si="103">+SUM(AH34:AH38)</f>
        <v>2591.9239999999995</v>
      </c>
      <c r="AI39" s="6">
        <f t="shared" ref="AI39" si="104">+SUM(AI34:AI38)</f>
        <v>2591.9239999999995</v>
      </c>
      <c r="AJ39" s="6">
        <f t="shared" ref="AJ39" si="105">+SUM(AJ34:AJ38)</f>
        <v>2591.9239999999995</v>
      </c>
      <c r="AK39" s="6">
        <f t="shared" ref="AK39" si="106">+SUM(AK34:AK38)</f>
        <v>2591.9239999999995</v>
      </c>
      <c r="AL39" s="6">
        <f t="shared" ref="AL39" si="107">+SUM(AL34:AL38)</f>
        <v>2591.9239999999995</v>
      </c>
      <c r="AM39" s="6">
        <f t="shared" ref="AM39" si="108">+SUM(AM34:AM38)</f>
        <v>2591.9239999999995</v>
      </c>
      <c r="AN39" s="6">
        <f t="shared" ref="AN39" si="109">+SUM(AN34:AN38)</f>
        <v>2591.9239999999995</v>
      </c>
      <c r="AO39" s="6">
        <f t="shared" ref="AO39" si="110">+SUM(AO34:AO38)</f>
        <v>2591.9239999999995</v>
      </c>
      <c r="AP39" s="6">
        <f>+SUM(AP34:AP38)</f>
        <v>2591.9239999999995</v>
      </c>
      <c r="AQ39" s="6">
        <f>+SUM(AQ34:AQ38)</f>
        <v>26820.546671999997</v>
      </c>
      <c r="AR39" s="6">
        <f t="shared" ref="AR39" si="111">+SUM(AR34:AR38)</f>
        <v>2597.2819999999997</v>
      </c>
      <c r="AS39" s="6">
        <f t="shared" ref="AS39" si="112">+SUM(AS34:AS38)</f>
        <v>2622.6766874999998</v>
      </c>
      <c r="AT39" s="6">
        <f t="shared" ref="AT39" si="113">+SUM(AT34:AT38)</f>
        <v>2666.2104374999999</v>
      </c>
      <c r="AU39" s="6">
        <f t="shared" ref="AU39" si="114">+SUM(AU34:AU38)</f>
        <v>2742.3944999999999</v>
      </c>
      <c r="AV39" s="6">
        <f t="shared" ref="AV39" si="115">+SUM(AV34:AV38)</f>
        <v>2742.3944999999999</v>
      </c>
      <c r="AW39" s="6">
        <f t="shared" ref="AW39" si="116">+SUM(AW34:AW38)</f>
        <v>2742.3944999999999</v>
      </c>
      <c r="AX39" s="6">
        <f t="shared" ref="AX39" si="117">+SUM(AX34:AX38)</f>
        <v>2742.3944999999999</v>
      </c>
      <c r="AY39" s="6">
        <f t="shared" ref="AY39" si="118">+SUM(AY34:AY38)</f>
        <v>2742.3944999999999</v>
      </c>
      <c r="AZ39" s="6">
        <f t="shared" ref="AZ39" si="119">+SUM(AZ34:AZ38)</f>
        <v>2742.3944999999999</v>
      </c>
      <c r="BA39" s="6">
        <f t="shared" ref="BA39" si="120">+SUM(BA34:BA38)</f>
        <v>2742.3944999999999</v>
      </c>
      <c r="BB39" s="6">
        <f t="shared" ref="BB39" si="121">+SUM(BB34:BB38)</f>
        <v>2742.3944999999999</v>
      </c>
      <c r="BC39" s="6">
        <f>+SUM(BC34:BC38)</f>
        <v>2742.3944999999999</v>
      </c>
      <c r="BD39" s="6">
        <f>+SUM(BD34:BD38)</f>
        <v>31400.880538879996</v>
      </c>
      <c r="BE39" s="6">
        <f t="shared" ref="BE39" si="122">+SUM(BE34:BE38)</f>
        <v>2749.3484999999996</v>
      </c>
      <c r="BF39" s="6">
        <f t="shared" ref="BF39" si="123">+SUM(BF34:BF38)</f>
        <v>2782.3075624999997</v>
      </c>
      <c r="BG39" s="6">
        <f t="shared" ref="BG39" si="124">+SUM(BG34:BG38)</f>
        <v>2838.8088124999999</v>
      </c>
      <c r="BH39" s="6">
        <f t="shared" ref="BH39" si="125">+SUM(BH34:BH38)</f>
        <v>2937.6859999999997</v>
      </c>
      <c r="BI39" s="6">
        <f t="shared" ref="BI39" si="126">+SUM(BI34:BI38)</f>
        <v>2937.6859999999997</v>
      </c>
      <c r="BJ39" s="6">
        <f t="shared" ref="BJ39" si="127">+SUM(BJ34:BJ38)</f>
        <v>2937.6859999999997</v>
      </c>
      <c r="BK39" s="6">
        <f t="shared" ref="BK39" si="128">+SUM(BK34:BK38)</f>
        <v>2937.6859999999997</v>
      </c>
      <c r="BL39" s="6">
        <f t="shared" ref="BL39" si="129">+SUM(BL34:BL38)</f>
        <v>2937.6859999999997</v>
      </c>
      <c r="BM39" s="6">
        <f t="shared" ref="BM39" si="130">+SUM(BM34:BM38)</f>
        <v>2937.6859999999997</v>
      </c>
      <c r="BN39" s="6">
        <f t="shared" ref="BN39" si="131">+SUM(BN34:BN38)</f>
        <v>2927.1523999999999</v>
      </c>
      <c r="BO39" s="6">
        <f t="shared" ref="BO39" si="132">+SUM(BO34:BO38)</f>
        <v>2864.5119649999997</v>
      </c>
      <c r="BP39" s="6">
        <f>+SUM(BP34:BP38)</f>
        <v>2711.8131687499999</v>
      </c>
      <c r="BQ39" s="6">
        <f>+SUM(BQ34:BQ38)</f>
        <v>34759.422760435191</v>
      </c>
      <c r="BR39" s="6"/>
    </row>
    <row r="40" spans="2:74" outlineLevel="2" x14ac:dyDescent="0.2"/>
    <row r="41" spans="2:74" outlineLevel="2" x14ac:dyDescent="0.2"/>
    <row r="42" spans="2:74" outlineLevel="2" x14ac:dyDescent="0.2">
      <c r="C42" s="1" t="s">
        <v>155</v>
      </c>
      <c r="E42" s="1">
        <v>5</v>
      </c>
      <c r="F42" s="1">
        <v>15</v>
      </c>
      <c r="G42" s="1">
        <v>20</v>
      </c>
      <c r="H42" s="1">
        <v>35</v>
      </c>
      <c r="I42" s="1">
        <v>50</v>
      </c>
      <c r="J42" s="1">
        <v>75</v>
      </c>
      <c r="K42" s="1">
        <v>75</v>
      </c>
      <c r="L42" s="1">
        <v>75</v>
      </c>
      <c r="M42" s="1">
        <v>75</v>
      </c>
      <c r="N42" s="1">
        <v>100</v>
      </c>
      <c r="O42" s="1">
        <v>100</v>
      </c>
      <c r="P42" s="1">
        <v>300</v>
      </c>
      <c r="AD42" s="1">
        <v>350</v>
      </c>
      <c r="AQ42" s="1">
        <v>450</v>
      </c>
      <c r="BD42" s="1">
        <v>525</v>
      </c>
      <c r="BQ42" s="1">
        <v>750</v>
      </c>
    </row>
    <row r="43" spans="2:74" outlineLevel="1" x14ac:dyDescent="0.2">
      <c r="B43" s="1" t="s">
        <v>65</v>
      </c>
    </row>
    <row r="44" spans="2:74" outlineLevel="1" x14ac:dyDescent="0.2">
      <c r="C44" s="1" t="s">
        <v>158</v>
      </c>
      <c r="D44" s="4">
        <v>0</v>
      </c>
      <c r="E44" s="4">
        <f>+D44+E50-E59</f>
        <v>118750</v>
      </c>
      <c r="F44" s="4">
        <f>+E44+F50-F59</f>
        <v>195937.5</v>
      </c>
      <c r="G44" s="4">
        <f>+F44+G50-G59</f>
        <v>256250</v>
      </c>
      <c r="H44" s="4">
        <f>+G44+H50-H59</f>
        <v>280937.5</v>
      </c>
      <c r="I44" s="4">
        <f t="shared" ref="I44:N44" si="133">+H44+I50-I59</f>
        <v>295625</v>
      </c>
      <c r="J44" s="4">
        <f t="shared" si="133"/>
        <v>300000</v>
      </c>
      <c r="K44" s="4">
        <f t="shared" si="133"/>
        <v>300000</v>
      </c>
      <c r="L44" s="4">
        <f t="shared" si="133"/>
        <v>300000</v>
      </c>
      <c r="M44" s="4">
        <f t="shared" si="133"/>
        <v>300000</v>
      </c>
      <c r="N44" s="4">
        <f t="shared" si="133"/>
        <v>300000</v>
      </c>
      <c r="O44" s="4">
        <f>+N44+O50-O59</f>
        <v>300000</v>
      </c>
      <c r="P44" s="4">
        <f>+O44</f>
        <v>300000</v>
      </c>
      <c r="Q44" s="4"/>
      <c r="R44" s="4">
        <f>+O44+R50-R59+P60</f>
        <v>454169.61283031409</v>
      </c>
      <c r="S44" s="4">
        <f>+R44+S50-S59</f>
        <v>551669.61283031409</v>
      </c>
      <c r="T44" s="4">
        <f t="shared" ref="T44:AB44" si="134">+S44+T50-T59</f>
        <v>604169.61283031409</v>
      </c>
      <c r="U44" s="4">
        <f t="shared" si="134"/>
        <v>604169.61283031409</v>
      </c>
      <c r="V44" s="4">
        <f t="shared" si="134"/>
        <v>604169.61283031409</v>
      </c>
      <c r="W44" s="4">
        <f t="shared" si="134"/>
        <v>604169.61283031409</v>
      </c>
      <c r="X44" s="4">
        <f t="shared" si="134"/>
        <v>604169.61283031409</v>
      </c>
      <c r="Y44" s="4">
        <f t="shared" si="134"/>
        <v>604169.61283031409</v>
      </c>
      <c r="Z44" s="4">
        <f t="shared" si="134"/>
        <v>604169.61283031409</v>
      </c>
      <c r="AA44" s="4">
        <f t="shared" si="134"/>
        <v>604169.61283031409</v>
      </c>
      <c r="AB44" s="4">
        <f t="shared" si="134"/>
        <v>604169.61283031409</v>
      </c>
      <c r="AC44" s="4">
        <f>+AB44+AC50-AC59</f>
        <v>604169.61283031409</v>
      </c>
      <c r="AD44" s="13">
        <f>+AC44</f>
        <v>604169.61283031409</v>
      </c>
      <c r="AE44" s="4">
        <f>+AB44+AE50-AE59+AC60</f>
        <v>695099.3714536468</v>
      </c>
      <c r="AF44" s="4">
        <f>+AE44+AF50-AF59</f>
        <v>753599.3714536468</v>
      </c>
      <c r="AG44" s="4">
        <f t="shared" ref="AG44:AO44" si="135">+AF44+AG50-AG59</f>
        <v>785099.3714536468</v>
      </c>
      <c r="AH44" s="4">
        <f t="shared" si="135"/>
        <v>785099.3714536468</v>
      </c>
      <c r="AI44" s="4">
        <f t="shared" si="135"/>
        <v>785099.3714536468</v>
      </c>
      <c r="AJ44" s="4">
        <f t="shared" si="135"/>
        <v>785099.3714536468</v>
      </c>
      <c r="AK44" s="4">
        <f t="shared" si="135"/>
        <v>785099.3714536468</v>
      </c>
      <c r="AL44" s="4">
        <f t="shared" si="135"/>
        <v>785099.3714536468</v>
      </c>
      <c r="AM44" s="4">
        <f t="shared" si="135"/>
        <v>785099.3714536468</v>
      </c>
      <c r="AN44" s="4">
        <f t="shared" si="135"/>
        <v>785099.3714536468</v>
      </c>
      <c r="AO44" s="4">
        <f t="shared" si="135"/>
        <v>785099.3714536468</v>
      </c>
      <c r="AP44" s="4">
        <f>+AO44+AP50-AP59</f>
        <v>785099.3714536468</v>
      </c>
      <c r="AQ44" s="4">
        <f>+AP44</f>
        <v>785099.3714536468</v>
      </c>
      <c r="AR44" s="4">
        <f>+AO44+AR50-AR59+AP60</f>
        <v>903792.43761074275</v>
      </c>
      <c r="AS44" s="4">
        <f>+AR44+AS50-AS59</f>
        <v>980167.43761074264</v>
      </c>
      <c r="AT44" s="4">
        <f t="shared" ref="AT44:BB44" si="136">+AS44+AT50-AT59</f>
        <v>1021292.4376107426</v>
      </c>
      <c r="AU44" s="4">
        <f t="shared" si="136"/>
        <v>1021292.4376107426</v>
      </c>
      <c r="AV44" s="4">
        <f t="shared" si="136"/>
        <v>1021292.4376107426</v>
      </c>
      <c r="AW44" s="4">
        <f t="shared" si="136"/>
        <v>1021292.4376107426</v>
      </c>
      <c r="AX44" s="4">
        <f t="shared" si="136"/>
        <v>1021292.4376107426</v>
      </c>
      <c r="AY44" s="4">
        <f t="shared" si="136"/>
        <v>1021292.4376107426</v>
      </c>
      <c r="AZ44" s="4">
        <f t="shared" si="136"/>
        <v>1021292.4376107426</v>
      </c>
      <c r="BA44" s="4">
        <f t="shared" si="136"/>
        <v>1021292.4376107426</v>
      </c>
      <c r="BB44" s="4">
        <f t="shared" si="136"/>
        <v>1021292.4376107426</v>
      </c>
      <c r="BC44" s="4">
        <f>+BB44+BC50-BC59</f>
        <v>1021292.4376107426</v>
      </c>
      <c r="BD44" s="4">
        <f>+BC44</f>
        <v>1021292.4376107426</v>
      </c>
      <c r="BE44" s="4">
        <f>+BB44+BE50-BE59+BC60</f>
        <v>1175329.6578825344</v>
      </c>
      <c r="BF44" s="4">
        <f>+BE44+BF50-BF59</f>
        <v>1274454.6578825344</v>
      </c>
      <c r="BG44" s="4">
        <f t="shared" ref="BG44:BO44" si="137">+BF44+BG50-BG59</f>
        <v>1327829.6578825344</v>
      </c>
      <c r="BH44" s="4">
        <f t="shared" si="137"/>
        <v>1327829.6578825344</v>
      </c>
      <c r="BI44" s="4">
        <f>+BH44+BI50-BI59</f>
        <v>1327829.6578825344</v>
      </c>
      <c r="BJ44" s="4">
        <f t="shared" si="137"/>
        <v>1327829.6578825344</v>
      </c>
      <c r="BK44" s="4">
        <f t="shared" si="137"/>
        <v>1327829.6578825344</v>
      </c>
      <c r="BL44" s="4">
        <f t="shared" si="137"/>
        <v>1327829.6578825344</v>
      </c>
      <c r="BM44" s="4">
        <f t="shared" si="137"/>
        <v>1327829.6578825344</v>
      </c>
      <c r="BN44" s="4">
        <f t="shared" si="137"/>
        <v>1096829.6578825344</v>
      </c>
      <c r="BO44" s="4">
        <f t="shared" si="137"/>
        <v>667829.65788253443</v>
      </c>
      <c r="BP44" s="4"/>
      <c r="BQ44" s="4">
        <f>+BM44</f>
        <v>1327829.6578825344</v>
      </c>
      <c r="BR44" s="7"/>
    </row>
    <row r="45" spans="2:74" outlineLevel="1" x14ac:dyDescent="0.2">
      <c r="D45" s="4">
        <v>0</v>
      </c>
      <c r="E45" s="4">
        <f>+E18</f>
        <v>0</v>
      </c>
      <c r="F45" s="4">
        <f t="shared" ref="F45:I45" si="138">+E45</f>
        <v>0</v>
      </c>
      <c r="G45" s="4">
        <f t="shared" si="138"/>
        <v>0</v>
      </c>
      <c r="H45" s="4">
        <f t="shared" si="138"/>
        <v>0</v>
      </c>
      <c r="I45" s="4">
        <f t="shared" si="138"/>
        <v>0</v>
      </c>
      <c r="J45" s="4">
        <f t="shared" ref="J45:O45" si="139">+I45</f>
        <v>0</v>
      </c>
      <c r="K45" s="4">
        <f t="shared" si="139"/>
        <v>0</v>
      </c>
      <c r="L45" s="4">
        <f t="shared" si="139"/>
        <v>0</v>
      </c>
      <c r="M45" s="4">
        <f t="shared" si="139"/>
        <v>0</v>
      </c>
      <c r="N45" s="4">
        <f t="shared" si="139"/>
        <v>0</v>
      </c>
      <c r="O45" s="4">
        <f t="shared" si="139"/>
        <v>0</v>
      </c>
      <c r="P45" s="4">
        <f>+O45</f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13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>
        <f>+AD45</f>
        <v>0</v>
      </c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>
        <f>+AQ45</f>
        <v>0</v>
      </c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>
        <f>+BD45</f>
        <v>0</v>
      </c>
    </row>
    <row r="46" spans="2:74" outlineLevel="1" x14ac:dyDescent="0.2">
      <c r="C46" s="1" t="s">
        <v>189</v>
      </c>
      <c r="D46" s="6">
        <v>0</v>
      </c>
      <c r="E46" s="6">
        <f t="shared" ref="E46:AD46" si="140">+E44+E45</f>
        <v>118750</v>
      </c>
      <c r="F46" s="6">
        <f t="shared" si="140"/>
        <v>195937.5</v>
      </c>
      <c r="G46" s="6">
        <f t="shared" si="140"/>
        <v>256250</v>
      </c>
      <c r="H46" s="6">
        <f>+H44+H45</f>
        <v>280937.5</v>
      </c>
      <c r="I46" s="6">
        <f t="shared" si="140"/>
        <v>295625</v>
      </c>
      <c r="J46" s="6">
        <f t="shared" si="140"/>
        <v>300000</v>
      </c>
      <c r="K46" s="6">
        <f t="shared" si="140"/>
        <v>300000</v>
      </c>
      <c r="L46" s="6">
        <f t="shared" si="140"/>
        <v>300000</v>
      </c>
      <c r="M46" s="6">
        <f t="shared" si="140"/>
        <v>300000</v>
      </c>
      <c r="N46" s="6">
        <f t="shared" si="140"/>
        <v>300000</v>
      </c>
      <c r="O46" s="6">
        <f t="shared" si="140"/>
        <v>300000</v>
      </c>
      <c r="P46" s="6">
        <f t="shared" si="140"/>
        <v>300000</v>
      </c>
      <c r="Q46" s="6"/>
      <c r="R46" s="6">
        <f>+R44+R45</f>
        <v>454169.61283031409</v>
      </c>
      <c r="S46" s="6">
        <f t="shared" si="140"/>
        <v>551669.61283031409</v>
      </c>
      <c r="T46" s="6">
        <f t="shared" si="140"/>
        <v>604169.61283031409</v>
      </c>
      <c r="U46" s="6">
        <f t="shared" si="140"/>
        <v>604169.61283031409</v>
      </c>
      <c r="V46" s="6">
        <f t="shared" si="140"/>
        <v>604169.61283031409</v>
      </c>
      <c r="W46" s="6">
        <f t="shared" si="140"/>
        <v>604169.61283031409</v>
      </c>
      <c r="X46" s="6">
        <f t="shared" si="140"/>
        <v>604169.61283031409</v>
      </c>
      <c r="Y46" s="6">
        <f t="shared" si="140"/>
        <v>604169.61283031409</v>
      </c>
      <c r="Z46" s="6">
        <f t="shared" si="140"/>
        <v>604169.61283031409</v>
      </c>
      <c r="AA46" s="6">
        <f t="shared" si="140"/>
        <v>604169.61283031409</v>
      </c>
      <c r="AB46" s="6">
        <f t="shared" si="140"/>
        <v>604169.61283031409</v>
      </c>
      <c r="AC46" s="6">
        <f t="shared" si="140"/>
        <v>604169.61283031409</v>
      </c>
      <c r="AD46" s="85">
        <f t="shared" si="140"/>
        <v>604169.61283031409</v>
      </c>
      <c r="AE46" s="6">
        <f t="shared" ref="AE46:AP46" si="141">+AE44+AE45</f>
        <v>695099.3714536468</v>
      </c>
      <c r="AF46" s="6">
        <f t="shared" si="141"/>
        <v>753599.3714536468</v>
      </c>
      <c r="AG46" s="6">
        <f t="shared" si="141"/>
        <v>785099.3714536468</v>
      </c>
      <c r="AH46" s="6">
        <f t="shared" si="141"/>
        <v>785099.3714536468</v>
      </c>
      <c r="AI46" s="6">
        <f t="shared" si="141"/>
        <v>785099.3714536468</v>
      </c>
      <c r="AJ46" s="6">
        <f t="shared" si="141"/>
        <v>785099.3714536468</v>
      </c>
      <c r="AK46" s="6">
        <f t="shared" si="141"/>
        <v>785099.3714536468</v>
      </c>
      <c r="AL46" s="6">
        <f t="shared" si="141"/>
        <v>785099.3714536468</v>
      </c>
      <c r="AM46" s="6">
        <f t="shared" si="141"/>
        <v>785099.3714536468</v>
      </c>
      <c r="AN46" s="6">
        <f t="shared" si="141"/>
        <v>785099.3714536468</v>
      </c>
      <c r="AO46" s="6">
        <f t="shared" si="141"/>
        <v>785099.3714536468</v>
      </c>
      <c r="AP46" s="6">
        <f t="shared" si="141"/>
        <v>785099.3714536468</v>
      </c>
      <c r="AQ46" s="6">
        <f t="shared" ref="AQ46:BC46" si="142">+AQ44+AQ45</f>
        <v>785099.3714536468</v>
      </c>
      <c r="AR46" s="6">
        <f t="shared" si="142"/>
        <v>903792.43761074275</v>
      </c>
      <c r="AS46" s="6">
        <f t="shared" si="142"/>
        <v>980167.43761074264</v>
      </c>
      <c r="AT46" s="6">
        <f t="shared" si="142"/>
        <v>1021292.4376107426</v>
      </c>
      <c r="AU46" s="6">
        <f t="shared" si="142"/>
        <v>1021292.4376107426</v>
      </c>
      <c r="AV46" s="6">
        <f t="shared" si="142"/>
        <v>1021292.4376107426</v>
      </c>
      <c r="AW46" s="6">
        <f t="shared" si="142"/>
        <v>1021292.4376107426</v>
      </c>
      <c r="AX46" s="6">
        <f t="shared" si="142"/>
        <v>1021292.4376107426</v>
      </c>
      <c r="AY46" s="6">
        <f t="shared" si="142"/>
        <v>1021292.4376107426</v>
      </c>
      <c r="AZ46" s="6">
        <f t="shared" si="142"/>
        <v>1021292.4376107426</v>
      </c>
      <c r="BA46" s="6">
        <f t="shared" si="142"/>
        <v>1021292.4376107426</v>
      </c>
      <c r="BB46" s="6">
        <f t="shared" si="142"/>
        <v>1021292.4376107426</v>
      </c>
      <c r="BC46" s="6">
        <f t="shared" si="142"/>
        <v>1021292.4376107426</v>
      </c>
      <c r="BD46" s="6">
        <f t="shared" ref="BD46:BO46" si="143">+BD44+BD45</f>
        <v>1021292.4376107426</v>
      </c>
      <c r="BE46" s="6">
        <f t="shared" si="143"/>
        <v>1175329.6578825344</v>
      </c>
      <c r="BF46" s="6">
        <f t="shared" si="143"/>
        <v>1274454.6578825344</v>
      </c>
      <c r="BG46" s="6">
        <f t="shared" si="143"/>
        <v>1327829.6578825344</v>
      </c>
      <c r="BH46" s="6">
        <f t="shared" si="143"/>
        <v>1327829.6578825344</v>
      </c>
      <c r="BI46" s="6">
        <f t="shared" si="143"/>
        <v>1327829.6578825344</v>
      </c>
      <c r="BJ46" s="6">
        <f t="shared" si="143"/>
        <v>1327829.6578825344</v>
      </c>
      <c r="BK46" s="6">
        <f t="shared" si="143"/>
        <v>1327829.6578825344</v>
      </c>
      <c r="BL46" s="6">
        <f t="shared" si="143"/>
        <v>1327829.6578825344</v>
      </c>
      <c r="BM46" s="6">
        <f t="shared" si="143"/>
        <v>1327829.6578825344</v>
      </c>
      <c r="BN46" s="6">
        <f t="shared" si="143"/>
        <v>1096829.6578825344</v>
      </c>
      <c r="BO46" s="6">
        <f t="shared" si="143"/>
        <v>667829.65788253443</v>
      </c>
      <c r="BP46" s="6">
        <f>+BP44+BP45</f>
        <v>0</v>
      </c>
      <c r="BQ46" s="6">
        <f t="shared" ref="BQ46" si="144">+BQ44+BQ45</f>
        <v>1327829.6578825344</v>
      </c>
      <c r="BR46" s="8"/>
    </row>
    <row r="47" spans="2:74" outlineLevel="1" x14ac:dyDescent="0.2">
      <c r="D47" s="6">
        <v>0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">
        <f>+P46*12</f>
        <v>3600000</v>
      </c>
    </row>
    <row r="48" spans="2:74" x14ac:dyDescent="0.2">
      <c r="C48" s="2" t="s">
        <v>99</v>
      </c>
      <c r="D48" s="69">
        <v>0</v>
      </c>
      <c r="E48" s="69">
        <v>95</v>
      </c>
      <c r="F48" s="69">
        <v>95</v>
      </c>
      <c r="G48" s="69">
        <v>110</v>
      </c>
      <c r="H48" s="69">
        <v>120</v>
      </c>
      <c r="I48" s="69">
        <v>120</v>
      </c>
      <c r="J48" s="69">
        <v>120</v>
      </c>
      <c r="K48" s="69">
        <v>120</v>
      </c>
      <c r="L48" s="69">
        <v>120</v>
      </c>
      <c r="M48" s="69">
        <v>120</v>
      </c>
      <c r="N48" s="69">
        <v>120</v>
      </c>
      <c r="O48" s="69">
        <v>120</v>
      </c>
      <c r="P48" s="86">
        <f>+SUM(E48:O48)</f>
        <v>1260</v>
      </c>
      <c r="Q48" s="86"/>
      <c r="R48" s="69">
        <v>240</v>
      </c>
      <c r="S48" s="69">
        <f>+R48</f>
        <v>240</v>
      </c>
      <c r="T48" s="69">
        <f t="shared" ref="T48:AC48" si="145">+S48</f>
        <v>240</v>
      </c>
      <c r="U48" s="69">
        <f t="shared" si="145"/>
        <v>240</v>
      </c>
      <c r="V48" s="69">
        <f t="shared" si="145"/>
        <v>240</v>
      </c>
      <c r="W48" s="69">
        <f t="shared" si="145"/>
        <v>240</v>
      </c>
      <c r="X48" s="69">
        <f t="shared" si="145"/>
        <v>240</v>
      </c>
      <c r="Y48" s="69">
        <f t="shared" si="145"/>
        <v>240</v>
      </c>
      <c r="Z48" s="69">
        <f t="shared" si="145"/>
        <v>240</v>
      </c>
      <c r="AA48" s="69">
        <f t="shared" si="145"/>
        <v>240</v>
      </c>
      <c r="AB48" s="69">
        <f t="shared" si="145"/>
        <v>240</v>
      </c>
      <c r="AC48" s="69">
        <f t="shared" si="145"/>
        <v>240</v>
      </c>
      <c r="AD48" s="86">
        <f>+SUM(R48:AC48)</f>
        <v>2880</v>
      </c>
      <c r="AE48" s="69">
        <f>ROUNDUP(AC48*1.3,0)</f>
        <v>312</v>
      </c>
      <c r="AF48" s="69">
        <f>+AE48</f>
        <v>312</v>
      </c>
      <c r="AG48" s="69">
        <f t="shared" ref="AG48:AP48" si="146">+AF48</f>
        <v>312</v>
      </c>
      <c r="AH48" s="69">
        <f t="shared" si="146"/>
        <v>312</v>
      </c>
      <c r="AI48" s="69">
        <f t="shared" si="146"/>
        <v>312</v>
      </c>
      <c r="AJ48" s="69">
        <f t="shared" si="146"/>
        <v>312</v>
      </c>
      <c r="AK48" s="69">
        <f t="shared" si="146"/>
        <v>312</v>
      </c>
      <c r="AL48" s="69">
        <f t="shared" si="146"/>
        <v>312</v>
      </c>
      <c r="AM48" s="69">
        <f t="shared" si="146"/>
        <v>312</v>
      </c>
      <c r="AN48" s="69">
        <f t="shared" si="146"/>
        <v>312</v>
      </c>
      <c r="AO48" s="69">
        <f t="shared" si="146"/>
        <v>312</v>
      </c>
      <c r="AP48" s="69">
        <f t="shared" si="146"/>
        <v>312</v>
      </c>
      <c r="AQ48" s="86">
        <f>+SUM(AE48:AP48)</f>
        <v>3744</v>
      </c>
      <c r="AR48" s="69">
        <f>ROUNDUP(AP48*1.3,0)</f>
        <v>406</v>
      </c>
      <c r="AS48" s="69">
        <f t="shared" ref="AS48:BC48" si="147">+AR48</f>
        <v>406</v>
      </c>
      <c r="AT48" s="69">
        <f t="shared" si="147"/>
        <v>406</v>
      </c>
      <c r="AU48" s="69">
        <f t="shared" si="147"/>
        <v>406</v>
      </c>
      <c r="AV48" s="69">
        <f t="shared" si="147"/>
        <v>406</v>
      </c>
      <c r="AW48" s="69">
        <f t="shared" si="147"/>
        <v>406</v>
      </c>
      <c r="AX48" s="69">
        <f t="shared" si="147"/>
        <v>406</v>
      </c>
      <c r="AY48" s="69">
        <f t="shared" si="147"/>
        <v>406</v>
      </c>
      <c r="AZ48" s="69">
        <f t="shared" si="147"/>
        <v>406</v>
      </c>
      <c r="BA48" s="69">
        <f t="shared" si="147"/>
        <v>406</v>
      </c>
      <c r="BB48" s="69">
        <f t="shared" si="147"/>
        <v>406</v>
      </c>
      <c r="BC48" s="69">
        <f t="shared" si="147"/>
        <v>406</v>
      </c>
      <c r="BD48" s="86">
        <f>+SUM(AR48:BC48)</f>
        <v>4872</v>
      </c>
      <c r="BE48" s="69">
        <f>ROUNDUP(BC48*1.3,0)</f>
        <v>528</v>
      </c>
      <c r="BF48" s="69">
        <f>+BE48</f>
        <v>528</v>
      </c>
      <c r="BG48" s="69">
        <f t="shared" ref="BG48:BM48" si="148">+BF48</f>
        <v>528</v>
      </c>
      <c r="BH48" s="69">
        <f t="shared" si="148"/>
        <v>528</v>
      </c>
      <c r="BI48" s="69">
        <f t="shared" si="148"/>
        <v>528</v>
      </c>
      <c r="BJ48" s="69">
        <f t="shared" si="148"/>
        <v>528</v>
      </c>
      <c r="BK48" s="69">
        <f t="shared" si="148"/>
        <v>528</v>
      </c>
      <c r="BL48" s="69">
        <f t="shared" si="148"/>
        <v>528</v>
      </c>
      <c r="BM48" s="69">
        <f t="shared" si="148"/>
        <v>528</v>
      </c>
      <c r="BN48" s="69">
        <f>+BM48*(D51+D52)</f>
        <v>343.2</v>
      </c>
      <c r="BO48" s="69">
        <f>+BN48*(D51)</f>
        <v>120.11999999999999</v>
      </c>
      <c r="BP48" s="69">
        <v>0</v>
      </c>
      <c r="BQ48" s="86">
        <f>+SUM(BE48:BP48)</f>
        <v>5215.32</v>
      </c>
      <c r="BR48" s="67"/>
      <c r="BS48" s="48"/>
      <c r="BT48" s="48"/>
      <c r="BU48" s="48"/>
      <c r="BV48" s="48"/>
    </row>
    <row r="49" spans="3:70" x14ac:dyDescent="0.2">
      <c r="C49" s="1" t="s">
        <v>165</v>
      </c>
      <c r="D49" s="6">
        <v>0</v>
      </c>
      <c r="E49" s="49">
        <v>0</v>
      </c>
      <c r="F49" s="49">
        <f>+E61</f>
        <v>118750</v>
      </c>
      <c r="G49" s="49">
        <f>+F61</f>
        <v>195749.47916666666</v>
      </c>
      <c r="H49" s="49">
        <f>+G61</f>
        <v>255752.04249131941</v>
      </c>
      <c r="I49" s="49">
        <f t="shared" ref="I49:O49" si="149">+H61</f>
        <v>280034.60175737482</v>
      </c>
      <c r="J49" s="49">
        <f t="shared" si="149"/>
        <v>294722.10175737482</v>
      </c>
      <c r="K49" s="49">
        <f t="shared" si="149"/>
        <v>298630.45842959231</v>
      </c>
      <c r="L49" s="49">
        <f t="shared" si="149"/>
        <v>298157.62687041215</v>
      </c>
      <c r="M49" s="49">
        <f>+L61</f>
        <v>297685.54396120069</v>
      </c>
      <c r="N49" s="49">
        <f t="shared" si="149"/>
        <v>297214.20851659548</v>
      </c>
      <c r="O49" s="49">
        <f t="shared" si="149"/>
        <v>296743.61935311084</v>
      </c>
      <c r="P49" s="48"/>
      <c r="Q49" s="48"/>
      <c r="R49" s="81">
        <f>+O61</f>
        <v>296273.77528913511</v>
      </c>
      <c r="S49" s="81">
        <f>+R61</f>
        <v>446273.77528913505</v>
      </c>
      <c r="T49" s="81">
        <f>+S61</f>
        <v>543067.17514492723</v>
      </c>
      <c r="U49" s="81">
        <f>+T61</f>
        <v>594707.31878428115</v>
      </c>
      <c r="V49" s="81">
        <f>+U61</f>
        <v>593765.69886287267</v>
      </c>
      <c r="W49" s="81">
        <f t="shared" ref="W49:AC49" si="150">+V61</f>
        <v>592825.56983967312</v>
      </c>
      <c r="X49" s="81">
        <f t="shared" si="150"/>
        <v>591886.92935409362</v>
      </c>
      <c r="Y49" s="81">
        <f t="shared" si="150"/>
        <v>590949.77504928294</v>
      </c>
      <c r="Z49" s="81">
        <f t="shared" si="150"/>
        <v>590014.10457212152</v>
      </c>
      <c r="AA49" s="81">
        <f t="shared" si="150"/>
        <v>589079.91557321569</v>
      </c>
      <c r="AB49" s="81">
        <f t="shared" si="150"/>
        <v>588147.20570689149</v>
      </c>
      <c r="AC49" s="81">
        <f t="shared" si="150"/>
        <v>587215.97263118892</v>
      </c>
      <c r="AD49" s="83">
        <f>+O49</f>
        <v>296743.61935311084</v>
      </c>
      <c r="AE49" s="81">
        <f>+AC61</f>
        <v>586286.21400785621</v>
      </c>
      <c r="AF49" s="81">
        <f>+AE61</f>
        <v>675357.92750234378</v>
      </c>
      <c r="AG49" s="81">
        <f>+AF61</f>
        <v>732788.6107837985</v>
      </c>
      <c r="AH49" s="81">
        <f>+AG61</f>
        <v>763128.36215005757</v>
      </c>
      <c r="AI49" s="81">
        <f>+AH61</f>
        <v>761920.07557665347</v>
      </c>
      <c r="AJ49" s="81">
        <f t="shared" ref="AJ49:AP49" si="151">+AI61</f>
        <v>760713.7021236571</v>
      </c>
      <c r="AK49" s="81">
        <f t="shared" si="151"/>
        <v>759509.23876196134</v>
      </c>
      <c r="AL49" s="81">
        <f t="shared" si="151"/>
        <v>758306.68246725504</v>
      </c>
      <c r="AM49" s="81">
        <f t="shared" si="151"/>
        <v>757106.03022001521</v>
      </c>
      <c r="AN49" s="81">
        <f t="shared" si="151"/>
        <v>755907.27900550014</v>
      </c>
      <c r="AO49" s="81">
        <f t="shared" si="151"/>
        <v>754710.42581374128</v>
      </c>
      <c r="AP49" s="81">
        <f t="shared" si="151"/>
        <v>753515.46763953625</v>
      </c>
      <c r="AQ49" s="83">
        <f>+AB49</f>
        <v>588147.20570689149</v>
      </c>
      <c r="AR49" s="81">
        <f>+AP61</f>
        <v>752322.40148244018</v>
      </c>
      <c r="AS49" s="81">
        <f>+AR61</f>
        <v>868631.2243467595</v>
      </c>
      <c r="AT49" s="81">
        <f>+AS61</f>
        <v>943630.89157487708</v>
      </c>
      <c r="AU49" s="81">
        <f>+AT61</f>
        <v>983261.80932988354</v>
      </c>
      <c r="AV49" s="81">
        <f>+AU61</f>
        <v>981704.97813177796</v>
      </c>
      <c r="AW49" s="81">
        <f t="shared" ref="AW49:BC49" si="152">+AV61</f>
        <v>980150.6119164027</v>
      </c>
      <c r="AX49" s="81">
        <f t="shared" si="152"/>
        <v>978598.70678086847</v>
      </c>
      <c r="AY49" s="81">
        <f t="shared" si="152"/>
        <v>977049.25882846559</v>
      </c>
      <c r="AZ49" s="81">
        <f t="shared" si="152"/>
        <v>975502.26416865387</v>
      </c>
      <c r="BA49" s="81">
        <f t="shared" si="152"/>
        <v>973957.71891705354</v>
      </c>
      <c r="BB49" s="81">
        <f t="shared" si="152"/>
        <v>972415.61919543496</v>
      </c>
      <c r="BC49" s="81">
        <f t="shared" si="152"/>
        <v>970875.96113170881</v>
      </c>
      <c r="BD49" s="83">
        <f>+AO49</f>
        <v>754710.42581374128</v>
      </c>
      <c r="BE49" s="81">
        <f>+BC61</f>
        <v>969338.74085991678</v>
      </c>
      <c r="BF49" s="81">
        <f>+BE61</f>
        <v>1120303.954520222</v>
      </c>
      <c r="BG49" s="81">
        <f>+BF61</f>
        <v>1217655.1399255651</v>
      </c>
      <c r="BH49" s="81">
        <f>+BG61</f>
        <v>1269102.1859540164</v>
      </c>
      <c r="BI49" s="81">
        <f>+BH61</f>
        <v>1267092.7741595893</v>
      </c>
      <c r="BJ49" s="81">
        <f t="shared" ref="BJ49:BP49" si="153">+BI61</f>
        <v>1265086.5439338367</v>
      </c>
      <c r="BK49" s="81">
        <f t="shared" si="153"/>
        <v>1263083.4902392749</v>
      </c>
      <c r="BL49" s="81">
        <f t="shared" si="153"/>
        <v>1261083.6080463962</v>
      </c>
      <c r="BM49" s="81">
        <f t="shared" si="153"/>
        <v>1259086.8923336561</v>
      </c>
      <c r="BN49" s="81">
        <f t="shared" si="153"/>
        <v>1257093.3380874612</v>
      </c>
      <c r="BO49" s="81">
        <f t="shared" si="153"/>
        <v>1024102.940302156</v>
      </c>
      <c r="BP49" s="81">
        <f t="shared" si="153"/>
        <v>593481.44398001081</v>
      </c>
      <c r="BQ49" s="83">
        <f>+BB49</f>
        <v>972415.61919543496</v>
      </c>
    </row>
    <row r="50" spans="3:70" x14ac:dyDescent="0.2">
      <c r="C50" s="2" t="s">
        <v>164</v>
      </c>
      <c r="D50" s="6">
        <v>0</v>
      </c>
      <c r="E50" s="69">
        <f t="shared" ref="E50:O50" si="154">+E48*$D$81</f>
        <v>118750</v>
      </c>
      <c r="F50" s="69">
        <f>+F48*$D$81</f>
        <v>118750</v>
      </c>
      <c r="G50" s="69">
        <f t="shared" si="154"/>
        <v>137500</v>
      </c>
      <c r="H50" s="69">
        <f t="shared" si="154"/>
        <v>150000</v>
      </c>
      <c r="I50" s="69">
        <f t="shared" si="154"/>
        <v>150000</v>
      </c>
      <c r="J50" s="69">
        <f t="shared" si="154"/>
        <v>150000</v>
      </c>
      <c r="K50" s="69">
        <f t="shared" si="154"/>
        <v>150000</v>
      </c>
      <c r="L50" s="69">
        <f t="shared" si="154"/>
        <v>150000</v>
      </c>
      <c r="M50" s="69">
        <f t="shared" si="154"/>
        <v>150000</v>
      </c>
      <c r="N50" s="69">
        <f t="shared" si="154"/>
        <v>150000</v>
      </c>
      <c r="O50" s="69">
        <f t="shared" si="154"/>
        <v>150000</v>
      </c>
      <c r="P50" s="84">
        <f>+SUM(D50:O50)</f>
        <v>1575000</v>
      </c>
      <c r="Q50" s="48"/>
      <c r="R50" s="82">
        <f t="shared" ref="R50:AC50" si="155">+R48*$D$81</f>
        <v>300000</v>
      </c>
      <c r="S50" s="82">
        <f t="shared" si="155"/>
        <v>300000</v>
      </c>
      <c r="T50" s="82">
        <f t="shared" si="155"/>
        <v>300000</v>
      </c>
      <c r="U50" s="82">
        <f t="shared" si="155"/>
        <v>300000</v>
      </c>
      <c r="V50" s="82">
        <f t="shared" si="155"/>
        <v>300000</v>
      </c>
      <c r="W50" s="82">
        <f t="shared" si="155"/>
        <v>300000</v>
      </c>
      <c r="X50" s="82">
        <f t="shared" si="155"/>
        <v>300000</v>
      </c>
      <c r="Y50" s="82">
        <f t="shared" si="155"/>
        <v>300000</v>
      </c>
      <c r="Z50" s="82">
        <f t="shared" si="155"/>
        <v>300000</v>
      </c>
      <c r="AA50" s="82">
        <f t="shared" si="155"/>
        <v>300000</v>
      </c>
      <c r="AB50" s="82">
        <f t="shared" si="155"/>
        <v>300000</v>
      </c>
      <c r="AC50" s="82">
        <f t="shared" si="155"/>
        <v>300000</v>
      </c>
      <c r="AD50" s="84">
        <f>+SUM(R50:AC50)</f>
        <v>3600000</v>
      </c>
      <c r="AE50" s="82">
        <f t="shared" ref="AE50:AP50" si="156">+AE48*$D$81</f>
        <v>390000</v>
      </c>
      <c r="AF50" s="82">
        <f t="shared" si="156"/>
        <v>390000</v>
      </c>
      <c r="AG50" s="82">
        <f t="shared" si="156"/>
        <v>390000</v>
      </c>
      <c r="AH50" s="82">
        <f t="shared" si="156"/>
        <v>390000</v>
      </c>
      <c r="AI50" s="82">
        <f t="shared" si="156"/>
        <v>390000</v>
      </c>
      <c r="AJ50" s="82">
        <f t="shared" si="156"/>
        <v>390000</v>
      </c>
      <c r="AK50" s="82">
        <f t="shared" si="156"/>
        <v>390000</v>
      </c>
      <c r="AL50" s="82">
        <f t="shared" si="156"/>
        <v>390000</v>
      </c>
      <c r="AM50" s="82">
        <f t="shared" si="156"/>
        <v>390000</v>
      </c>
      <c r="AN50" s="82">
        <f t="shared" si="156"/>
        <v>390000</v>
      </c>
      <c r="AO50" s="82">
        <f t="shared" si="156"/>
        <v>390000</v>
      </c>
      <c r="AP50" s="82">
        <f t="shared" si="156"/>
        <v>390000</v>
      </c>
      <c r="AQ50" s="84">
        <f>+SUM(AE50:AP50)</f>
        <v>4680000</v>
      </c>
      <c r="AR50" s="82">
        <f t="shared" ref="AR50:BC50" si="157">+AR48*$D$81</f>
        <v>507500</v>
      </c>
      <c r="AS50" s="82">
        <f t="shared" si="157"/>
        <v>507500</v>
      </c>
      <c r="AT50" s="82">
        <f t="shared" si="157"/>
        <v>507500</v>
      </c>
      <c r="AU50" s="82">
        <f t="shared" si="157"/>
        <v>507500</v>
      </c>
      <c r="AV50" s="82">
        <f t="shared" si="157"/>
        <v>507500</v>
      </c>
      <c r="AW50" s="82">
        <f t="shared" si="157"/>
        <v>507500</v>
      </c>
      <c r="AX50" s="82">
        <f t="shared" si="157"/>
        <v>507500</v>
      </c>
      <c r="AY50" s="82">
        <f t="shared" si="157"/>
        <v>507500</v>
      </c>
      <c r="AZ50" s="82">
        <f t="shared" si="157"/>
        <v>507500</v>
      </c>
      <c r="BA50" s="82">
        <f t="shared" si="157"/>
        <v>507500</v>
      </c>
      <c r="BB50" s="82">
        <f t="shared" si="157"/>
        <v>507500</v>
      </c>
      <c r="BC50" s="82">
        <f t="shared" si="157"/>
        <v>507500</v>
      </c>
      <c r="BD50" s="84">
        <f>+SUM(AR50:BC50)</f>
        <v>6090000</v>
      </c>
      <c r="BE50" s="82">
        <f t="shared" ref="BE50:BP50" si="158">+BE48*$D$81</f>
        <v>660000</v>
      </c>
      <c r="BF50" s="82">
        <f t="shared" si="158"/>
        <v>660000</v>
      </c>
      <c r="BG50" s="82">
        <f t="shared" si="158"/>
        <v>660000</v>
      </c>
      <c r="BH50" s="82">
        <f t="shared" si="158"/>
        <v>660000</v>
      </c>
      <c r="BI50" s="82">
        <f t="shared" si="158"/>
        <v>660000</v>
      </c>
      <c r="BJ50" s="82">
        <f t="shared" si="158"/>
        <v>660000</v>
      </c>
      <c r="BK50" s="82">
        <f t="shared" si="158"/>
        <v>660000</v>
      </c>
      <c r="BL50" s="82">
        <f t="shared" si="158"/>
        <v>660000</v>
      </c>
      <c r="BM50" s="82">
        <f t="shared" si="158"/>
        <v>660000</v>
      </c>
      <c r="BN50" s="82">
        <f t="shared" si="158"/>
        <v>429000</v>
      </c>
      <c r="BO50" s="82">
        <f t="shared" si="158"/>
        <v>150150</v>
      </c>
      <c r="BP50" s="82">
        <f t="shared" si="158"/>
        <v>0</v>
      </c>
      <c r="BQ50" s="84">
        <f>+SUM(BE50:BP50)</f>
        <v>6519150</v>
      </c>
    </row>
    <row r="51" spans="3:70" x14ac:dyDescent="0.2">
      <c r="C51" s="1" t="s">
        <v>100</v>
      </c>
      <c r="D51" s="70">
        <v>0.35</v>
      </c>
      <c r="E51" s="7">
        <f>+$D51*E$50</f>
        <v>41562.5</v>
      </c>
      <c r="F51" s="7">
        <f>+$D51*F$50</f>
        <v>41562.5</v>
      </c>
      <c r="G51" s="7">
        <f>+$D51*G$50</f>
        <v>48125</v>
      </c>
      <c r="H51" s="7">
        <f t="shared" ref="H51:O51" si="159">+$D51*H$50</f>
        <v>52500</v>
      </c>
      <c r="I51" s="7">
        <f t="shared" si="159"/>
        <v>52500</v>
      </c>
      <c r="J51" s="7">
        <f t="shared" si="159"/>
        <v>52500</v>
      </c>
      <c r="K51" s="7">
        <f t="shared" si="159"/>
        <v>52500</v>
      </c>
      <c r="L51" s="7">
        <f t="shared" si="159"/>
        <v>52500</v>
      </c>
      <c r="M51" s="7">
        <f t="shared" si="159"/>
        <v>52500</v>
      </c>
      <c r="N51" s="7">
        <f t="shared" si="159"/>
        <v>52500</v>
      </c>
      <c r="O51" s="7">
        <f t="shared" si="159"/>
        <v>52500</v>
      </c>
      <c r="P51" s="4">
        <f>+O51</f>
        <v>52500</v>
      </c>
      <c r="Q51" s="4"/>
      <c r="R51" s="7">
        <f>+$D51*R$50</f>
        <v>105000</v>
      </c>
      <c r="S51" s="7">
        <f>+$D51*S$50</f>
        <v>105000</v>
      </c>
      <c r="T51" s="7">
        <f>+$D51*T$50</f>
        <v>105000</v>
      </c>
      <c r="U51" s="7">
        <f>+$D51*U$50</f>
        <v>105000</v>
      </c>
      <c r="V51" s="7">
        <f t="shared" ref="V51:AC51" si="160">+$D51*V$50</f>
        <v>105000</v>
      </c>
      <c r="W51" s="7">
        <f t="shared" si="160"/>
        <v>105000</v>
      </c>
      <c r="X51" s="7">
        <f t="shared" si="160"/>
        <v>105000</v>
      </c>
      <c r="Y51" s="7">
        <f t="shared" si="160"/>
        <v>105000</v>
      </c>
      <c r="Z51" s="7">
        <f t="shared" si="160"/>
        <v>105000</v>
      </c>
      <c r="AA51" s="7">
        <f t="shared" si="160"/>
        <v>105000</v>
      </c>
      <c r="AB51" s="7">
        <f t="shared" si="160"/>
        <v>105000</v>
      </c>
      <c r="AC51" s="7">
        <f t="shared" si="160"/>
        <v>105000</v>
      </c>
      <c r="AD51" s="4">
        <f>+AD64/$D$78</f>
        <v>100625</v>
      </c>
      <c r="AE51" s="7">
        <f>+$D51*AE$50</f>
        <v>136500</v>
      </c>
      <c r="AF51" s="7">
        <f>+$D51*AF$50</f>
        <v>136500</v>
      </c>
      <c r="AG51" s="7">
        <f>+$D51*AG$50</f>
        <v>136500</v>
      </c>
      <c r="AH51" s="7">
        <f>+$D51*AH$50</f>
        <v>136500</v>
      </c>
      <c r="AI51" s="7">
        <f t="shared" ref="AI51:AP51" si="161">+$D51*AI$50</f>
        <v>136500</v>
      </c>
      <c r="AJ51" s="7">
        <f t="shared" si="161"/>
        <v>136500</v>
      </c>
      <c r="AK51" s="7">
        <f t="shared" si="161"/>
        <v>136500</v>
      </c>
      <c r="AL51" s="7">
        <f t="shared" si="161"/>
        <v>136500</v>
      </c>
      <c r="AM51" s="7">
        <f t="shared" si="161"/>
        <v>136500</v>
      </c>
      <c r="AN51" s="7">
        <f t="shared" si="161"/>
        <v>136500</v>
      </c>
      <c r="AO51" s="7">
        <f t="shared" si="161"/>
        <v>136500</v>
      </c>
      <c r="AP51" s="7">
        <f t="shared" si="161"/>
        <v>136500</v>
      </c>
      <c r="AQ51" s="4">
        <f>+AQ64/$D$78</f>
        <v>133875</v>
      </c>
      <c r="AR51" s="7">
        <f>+$D51*AR$50</f>
        <v>177625</v>
      </c>
      <c r="AS51" s="7">
        <f>+$D51*AS$50</f>
        <v>177625</v>
      </c>
      <c r="AT51" s="7">
        <f>+$D51*AT$50</f>
        <v>177625</v>
      </c>
      <c r="AU51" s="7">
        <f>+$D51*AU$50</f>
        <v>177625</v>
      </c>
      <c r="AV51" s="7">
        <f t="shared" ref="AV51:BC51" si="162">+$D51*AV$50</f>
        <v>177625</v>
      </c>
      <c r="AW51" s="7">
        <f t="shared" si="162"/>
        <v>177625</v>
      </c>
      <c r="AX51" s="7">
        <f t="shared" si="162"/>
        <v>177625</v>
      </c>
      <c r="AY51" s="7">
        <f t="shared" si="162"/>
        <v>177625</v>
      </c>
      <c r="AZ51" s="7">
        <f t="shared" si="162"/>
        <v>177625</v>
      </c>
      <c r="BA51" s="7">
        <f t="shared" si="162"/>
        <v>177625</v>
      </c>
      <c r="BB51" s="7">
        <f t="shared" si="162"/>
        <v>177625</v>
      </c>
      <c r="BC51" s="7">
        <f t="shared" si="162"/>
        <v>177625</v>
      </c>
      <c r="BD51" s="4">
        <f>+BD64/$D$78</f>
        <v>174197.91666666666</v>
      </c>
      <c r="BE51" s="7">
        <f>+$D51*BE$50</f>
        <v>230999.99999999997</v>
      </c>
      <c r="BF51" s="7">
        <f>+$D51*BF$50</f>
        <v>230999.99999999997</v>
      </c>
      <c r="BG51" s="7">
        <f>+$D51*BG$50</f>
        <v>230999.99999999997</v>
      </c>
      <c r="BH51" s="7">
        <f>+$D51*BH$50</f>
        <v>230999.99999999997</v>
      </c>
      <c r="BI51" s="7">
        <f t="shared" ref="BI51:BP51" si="163">+$D51*BI$50</f>
        <v>230999.99999999997</v>
      </c>
      <c r="BJ51" s="7">
        <f t="shared" si="163"/>
        <v>230999.99999999997</v>
      </c>
      <c r="BK51" s="7">
        <f t="shared" si="163"/>
        <v>230999.99999999997</v>
      </c>
      <c r="BL51" s="7">
        <f t="shared" si="163"/>
        <v>230999.99999999997</v>
      </c>
      <c r="BM51" s="7">
        <f t="shared" si="163"/>
        <v>230999.99999999997</v>
      </c>
      <c r="BN51" s="7">
        <f t="shared" si="163"/>
        <v>150150</v>
      </c>
      <c r="BO51" s="7">
        <f t="shared" si="163"/>
        <v>52552.5</v>
      </c>
      <c r="BP51" s="7">
        <f>BP$50</f>
        <v>0</v>
      </c>
      <c r="BQ51" s="4">
        <f>+BQ64/$D$78</f>
        <v>204943.95833333334</v>
      </c>
      <c r="BR51" s="7"/>
    </row>
    <row r="52" spans="3:70" x14ac:dyDescent="0.2">
      <c r="C52" s="1" t="s">
        <v>101</v>
      </c>
      <c r="D52" s="70">
        <f>1-D51-D53</f>
        <v>0.30000000000000004</v>
      </c>
      <c r="E52" s="7">
        <f t="shared" ref="E52:O53" si="164">+$D52*E$50</f>
        <v>35625.000000000007</v>
      </c>
      <c r="F52" s="7">
        <f t="shared" si="164"/>
        <v>35625.000000000007</v>
      </c>
      <c r="G52" s="7">
        <f t="shared" si="164"/>
        <v>41250.000000000007</v>
      </c>
      <c r="H52" s="7">
        <f t="shared" si="164"/>
        <v>45000.000000000007</v>
      </c>
      <c r="I52" s="7">
        <f t="shared" si="164"/>
        <v>45000.000000000007</v>
      </c>
      <c r="J52" s="7">
        <f t="shared" si="164"/>
        <v>45000.000000000007</v>
      </c>
      <c r="K52" s="7">
        <f t="shared" si="164"/>
        <v>45000.000000000007</v>
      </c>
      <c r="L52" s="7">
        <f t="shared" si="164"/>
        <v>45000.000000000007</v>
      </c>
      <c r="M52" s="7">
        <f t="shared" si="164"/>
        <v>45000.000000000007</v>
      </c>
      <c r="N52" s="7">
        <f t="shared" si="164"/>
        <v>45000.000000000007</v>
      </c>
      <c r="O52" s="7">
        <f t="shared" si="164"/>
        <v>45000.000000000007</v>
      </c>
      <c r="P52" s="4">
        <f>+O52</f>
        <v>45000.000000000007</v>
      </c>
      <c r="Q52" s="4"/>
      <c r="R52" s="7">
        <f t="shared" ref="R52:AG53" si="165">+$D52*R$50</f>
        <v>90000.000000000015</v>
      </c>
      <c r="S52" s="7">
        <f t="shared" si="165"/>
        <v>90000.000000000015</v>
      </c>
      <c r="T52" s="7">
        <f t="shared" si="165"/>
        <v>90000.000000000015</v>
      </c>
      <c r="U52" s="7">
        <f t="shared" si="165"/>
        <v>90000.000000000015</v>
      </c>
      <c r="V52" s="7">
        <f t="shared" si="165"/>
        <v>90000.000000000015</v>
      </c>
      <c r="W52" s="7">
        <f t="shared" si="165"/>
        <v>90000.000000000015</v>
      </c>
      <c r="X52" s="7">
        <f t="shared" si="165"/>
        <v>90000.000000000015</v>
      </c>
      <c r="Y52" s="7">
        <f t="shared" si="165"/>
        <v>90000.000000000015</v>
      </c>
      <c r="Z52" s="7">
        <f t="shared" si="165"/>
        <v>90000.000000000015</v>
      </c>
      <c r="AA52" s="7">
        <f t="shared" si="165"/>
        <v>90000.000000000015</v>
      </c>
      <c r="AB52" s="7">
        <f t="shared" si="165"/>
        <v>90000.000000000015</v>
      </c>
      <c r="AC52" s="7">
        <f t="shared" si="165"/>
        <v>90000.000000000015</v>
      </c>
      <c r="AD52" s="4">
        <f>+AD65/$D$78/2</f>
        <v>82500</v>
      </c>
      <c r="AE52" s="7">
        <f>+$D52*AE$50</f>
        <v>117000.00000000001</v>
      </c>
      <c r="AF52" s="7">
        <f t="shared" si="165"/>
        <v>117000.00000000001</v>
      </c>
      <c r="AG52" s="7">
        <f t="shared" si="165"/>
        <v>117000.00000000001</v>
      </c>
      <c r="AH52" s="7">
        <f t="shared" ref="AF52:AP53" si="166">+$D52*AH$50</f>
        <v>117000.00000000001</v>
      </c>
      <c r="AI52" s="7">
        <f t="shared" si="166"/>
        <v>117000.00000000001</v>
      </c>
      <c r="AJ52" s="7">
        <f t="shared" si="166"/>
        <v>117000.00000000001</v>
      </c>
      <c r="AK52" s="7">
        <f t="shared" si="166"/>
        <v>117000.00000000001</v>
      </c>
      <c r="AL52" s="7">
        <f t="shared" si="166"/>
        <v>117000.00000000001</v>
      </c>
      <c r="AM52" s="7">
        <f t="shared" si="166"/>
        <v>117000.00000000001</v>
      </c>
      <c r="AN52" s="7">
        <f t="shared" si="166"/>
        <v>117000.00000000001</v>
      </c>
      <c r="AO52" s="7">
        <f t="shared" si="166"/>
        <v>117000.00000000001</v>
      </c>
      <c r="AP52" s="7">
        <f t="shared" si="166"/>
        <v>117000.00000000001</v>
      </c>
      <c r="AQ52" s="4">
        <f>+AQ65/$D$78/2</f>
        <v>112500.00000000001</v>
      </c>
      <c r="AR52" s="7">
        <f>+$D52*AR$50</f>
        <v>152250.00000000003</v>
      </c>
      <c r="AS52" s="7">
        <f t="shared" ref="AS52:BC53" si="167">+$D52*AS$50</f>
        <v>152250.00000000003</v>
      </c>
      <c r="AT52" s="7">
        <f t="shared" si="167"/>
        <v>152250.00000000003</v>
      </c>
      <c r="AU52" s="7">
        <f t="shared" si="167"/>
        <v>152250.00000000003</v>
      </c>
      <c r="AV52" s="7">
        <f t="shared" si="167"/>
        <v>152250.00000000003</v>
      </c>
      <c r="AW52" s="7">
        <f t="shared" si="167"/>
        <v>152250.00000000003</v>
      </c>
      <c r="AX52" s="7">
        <f t="shared" si="167"/>
        <v>152250.00000000003</v>
      </c>
      <c r="AY52" s="7">
        <f t="shared" si="167"/>
        <v>152250.00000000003</v>
      </c>
      <c r="AZ52" s="7">
        <f t="shared" si="167"/>
        <v>152250.00000000003</v>
      </c>
      <c r="BA52" s="7">
        <f t="shared" si="167"/>
        <v>152250.00000000003</v>
      </c>
      <c r="BB52" s="7">
        <f t="shared" si="167"/>
        <v>152250.00000000003</v>
      </c>
      <c r="BC52" s="7">
        <f t="shared" si="167"/>
        <v>152250.00000000003</v>
      </c>
      <c r="BD52" s="4">
        <f>+BD65/$D$78/2</f>
        <v>146375</v>
      </c>
      <c r="BE52" s="7">
        <f>+$D52*BE$50</f>
        <v>198000.00000000003</v>
      </c>
      <c r="BF52" s="7">
        <f t="shared" ref="BF52:BP53" si="168">+$D52*BF$50</f>
        <v>198000.00000000003</v>
      </c>
      <c r="BG52" s="7">
        <f t="shared" si="168"/>
        <v>198000.00000000003</v>
      </c>
      <c r="BH52" s="7">
        <f t="shared" si="168"/>
        <v>198000.00000000003</v>
      </c>
      <c r="BI52" s="7">
        <f t="shared" si="168"/>
        <v>198000.00000000003</v>
      </c>
      <c r="BJ52" s="7">
        <f t="shared" si="168"/>
        <v>198000.00000000003</v>
      </c>
      <c r="BK52" s="7">
        <f t="shared" si="168"/>
        <v>198000.00000000003</v>
      </c>
      <c r="BL52" s="7">
        <f t="shared" si="168"/>
        <v>198000.00000000003</v>
      </c>
      <c r="BM52" s="7">
        <f t="shared" si="168"/>
        <v>198000.00000000003</v>
      </c>
      <c r="BN52" s="7">
        <f t="shared" si="168"/>
        <v>128700.00000000001</v>
      </c>
      <c r="BO52" s="7">
        <v>0</v>
      </c>
      <c r="BP52" s="7">
        <v>0</v>
      </c>
      <c r="BQ52" s="4">
        <f>+BQ65/$D$78/2</f>
        <v>184600.00000000003</v>
      </c>
      <c r="BR52" s="7"/>
    </row>
    <row r="53" spans="3:70" x14ac:dyDescent="0.2">
      <c r="C53" s="1" t="s">
        <v>102</v>
      </c>
      <c r="D53" s="70">
        <v>0.35</v>
      </c>
      <c r="E53" s="7">
        <f t="shared" si="164"/>
        <v>41562.5</v>
      </c>
      <c r="F53" s="7">
        <f t="shared" si="164"/>
        <v>41562.5</v>
      </c>
      <c r="G53" s="7">
        <f t="shared" si="164"/>
        <v>48125</v>
      </c>
      <c r="H53" s="7">
        <f t="shared" si="164"/>
        <v>52500</v>
      </c>
      <c r="I53" s="7">
        <f t="shared" si="164"/>
        <v>52500</v>
      </c>
      <c r="J53" s="7">
        <f t="shared" si="164"/>
        <v>52500</v>
      </c>
      <c r="K53" s="7">
        <f t="shared" si="164"/>
        <v>52500</v>
      </c>
      <c r="L53" s="7">
        <f t="shared" si="164"/>
        <v>52500</v>
      </c>
      <c r="M53" s="7">
        <f t="shared" si="164"/>
        <v>52500</v>
      </c>
      <c r="N53" s="7">
        <f t="shared" si="164"/>
        <v>52500</v>
      </c>
      <c r="O53" s="7">
        <f t="shared" si="164"/>
        <v>52500</v>
      </c>
      <c r="P53" s="4">
        <f>+O53</f>
        <v>52500</v>
      </c>
      <c r="Q53" s="4"/>
      <c r="R53" s="7">
        <f t="shared" si="165"/>
        <v>105000</v>
      </c>
      <c r="S53" s="7">
        <f t="shared" si="165"/>
        <v>105000</v>
      </c>
      <c r="T53" s="7">
        <f t="shared" si="165"/>
        <v>105000</v>
      </c>
      <c r="U53" s="7">
        <f t="shared" si="165"/>
        <v>105000</v>
      </c>
      <c r="V53" s="7">
        <f t="shared" si="165"/>
        <v>105000</v>
      </c>
      <c r="W53" s="7">
        <f t="shared" si="165"/>
        <v>105000</v>
      </c>
      <c r="X53" s="7">
        <f t="shared" si="165"/>
        <v>105000</v>
      </c>
      <c r="Y53" s="7">
        <f t="shared" si="165"/>
        <v>105000</v>
      </c>
      <c r="Z53" s="7">
        <f t="shared" si="165"/>
        <v>105000</v>
      </c>
      <c r="AA53" s="7">
        <f t="shared" si="165"/>
        <v>105000</v>
      </c>
      <c r="AB53" s="7">
        <f t="shared" si="165"/>
        <v>105000</v>
      </c>
      <c r="AC53" s="7">
        <f t="shared" si="165"/>
        <v>105000</v>
      </c>
      <c r="AD53" s="4">
        <f>+AD66/$D$78/3</f>
        <v>91875</v>
      </c>
      <c r="AE53" s="7">
        <f>+$D53*AE$50</f>
        <v>136500</v>
      </c>
      <c r="AF53" s="7">
        <f t="shared" si="166"/>
        <v>136500</v>
      </c>
      <c r="AG53" s="7">
        <f t="shared" si="166"/>
        <v>136500</v>
      </c>
      <c r="AH53" s="7">
        <f t="shared" si="166"/>
        <v>136500</v>
      </c>
      <c r="AI53" s="7">
        <f t="shared" si="166"/>
        <v>136500</v>
      </c>
      <c r="AJ53" s="7">
        <f t="shared" si="166"/>
        <v>136500</v>
      </c>
      <c r="AK53" s="7">
        <f t="shared" si="166"/>
        <v>136500</v>
      </c>
      <c r="AL53" s="7">
        <f t="shared" si="166"/>
        <v>136500</v>
      </c>
      <c r="AM53" s="7">
        <f t="shared" si="166"/>
        <v>136500</v>
      </c>
      <c r="AN53" s="7">
        <f t="shared" si="166"/>
        <v>136500</v>
      </c>
      <c r="AO53" s="7">
        <f t="shared" si="166"/>
        <v>136500</v>
      </c>
      <c r="AP53" s="7">
        <f t="shared" si="166"/>
        <v>136500</v>
      </c>
      <c r="AQ53" s="4">
        <f>+AQ66/$D$78/3</f>
        <v>128625</v>
      </c>
      <c r="AR53" s="7">
        <f>+$D53*AR$50</f>
        <v>177625</v>
      </c>
      <c r="AS53" s="7">
        <f t="shared" si="167"/>
        <v>177625</v>
      </c>
      <c r="AT53" s="7">
        <f t="shared" si="167"/>
        <v>177625</v>
      </c>
      <c r="AU53" s="7">
        <f t="shared" si="167"/>
        <v>177625</v>
      </c>
      <c r="AV53" s="7">
        <f t="shared" si="167"/>
        <v>177625</v>
      </c>
      <c r="AW53" s="7">
        <f t="shared" si="167"/>
        <v>177625</v>
      </c>
      <c r="AX53" s="7">
        <f t="shared" si="167"/>
        <v>177625</v>
      </c>
      <c r="AY53" s="7">
        <f t="shared" si="167"/>
        <v>177625</v>
      </c>
      <c r="AZ53" s="7">
        <f t="shared" si="167"/>
        <v>177625</v>
      </c>
      <c r="BA53" s="7">
        <f t="shared" si="167"/>
        <v>177625</v>
      </c>
      <c r="BB53" s="7">
        <f t="shared" si="167"/>
        <v>177625</v>
      </c>
      <c r="BC53" s="7">
        <f t="shared" si="167"/>
        <v>177625</v>
      </c>
      <c r="BD53" s="4">
        <f>+BD66/$D$78/3</f>
        <v>167343.75</v>
      </c>
      <c r="BE53" s="7">
        <f>+$D53*BE$50</f>
        <v>230999.99999999997</v>
      </c>
      <c r="BF53" s="7">
        <f t="shared" si="168"/>
        <v>230999.99999999997</v>
      </c>
      <c r="BG53" s="7">
        <f t="shared" si="168"/>
        <v>230999.99999999997</v>
      </c>
      <c r="BH53" s="7">
        <f t="shared" si="168"/>
        <v>230999.99999999997</v>
      </c>
      <c r="BI53" s="7">
        <f t="shared" si="168"/>
        <v>230999.99999999997</v>
      </c>
      <c r="BJ53" s="7">
        <f t="shared" si="168"/>
        <v>230999.99999999997</v>
      </c>
      <c r="BK53" s="7">
        <f t="shared" si="168"/>
        <v>230999.99999999997</v>
      </c>
      <c r="BL53" s="7">
        <f t="shared" si="168"/>
        <v>230999.99999999997</v>
      </c>
      <c r="BM53" s="7">
        <f t="shared" si="168"/>
        <v>230999.99999999997</v>
      </c>
      <c r="BN53" s="7">
        <v>0</v>
      </c>
      <c r="BO53" s="7">
        <v>0</v>
      </c>
      <c r="BP53" s="7">
        <v>0</v>
      </c>
      <c r="BQ53" s="4">
        <f>+BQ66/$D$78/3</f>
        <v>217656.25</v>
      </c>
      <c r="BR53" s="7"/>
    </row>
    <row r="54" spans="3:70" x14ac:dyDescent="0.2">
      <c r="P54" s="4">
        <f>+P51+P52+P53</f>
        <v>150000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10">
        <f>+P54/P47</f>
        <v>4.1666666666666664E-2</v>
      </c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3:70" x14ac:dyDescent="0.2">
      <c r="C55" s="2" t="s">
        <v>167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3:70" x14ac:dyDescent="0.2">
      <c r="C56" s="1" t="s">
        <v>168</v>
      </c>
      <c r="D56" s="4">
        <v>0</v>
      </c>
      <c r="E56" s="4">
        <v>0</v>
      </c>
      <c r="F56" s="4">
        <f>+E51</f>
        <v>41562.5</v>
      </c>
      <c r="G56" s="4">
        <f t="shared" ref="G56:O56" si="169">+F51</f>
        <v>41562.5</v>
      </c>
      <c r="H56" s="4">
        <f t="shared" si="169"/>
        <v>48125</v>
      </c>
      <c r="I56" s="4">
        <f t="shared" si="169"/>
        <v>52500</v>
      </c>
      <c r="J56" s="4">
        <f t="shared" si="169"/>
        <v>52500</v>
      </c>
      <c r="K56" s="4">
        <f t="shared" si="169"/>
        <v>52500</v>
      </c>
      <c r="L56" s="4">
        <f t="shared" si="169"/>
        <v>52500</v>
      </c>
      <c r="M56" s="4">
        <f t="shared" si="169"/>
        <v>52500</v>
      </c>
      <c r="N56" s="4">
        <f t="shared" si="169"/>
        <v>52500</v>
      </c>
      <c r="O56" s="4">
        <f t="shared" si="169"/>
        <v>52500</v>
      </c>
      <c r="P56" s="4">
        <f>+SUM(D56:O56)</f>
        <v>498750</v>
      </c>
      <c r="Q56" s="4"/>
      <c r="R56" s="4">
        <f>+O51</f>
        <v>52500</v>
      </c>
      <c r="S56" s="4">
        <f>+R51</f>
        <v>105000</v>
      </c>
      <c r="T56" s="4">
        <f>+S51</f>
        <v>105000</v>
      </c>
      <c r="U56" s="4">
        <f t="shared" ref="U56" si="170">+T51</f>
        <v>105000</v>
      </c>
      <c r="V56" s="4">
        <f t="shared" ref="V56:AC56" si="171">+U51</f>
        <v>105000</v>
      </c>
      <c r="W56" s="4">
        <f t="shared" si="171"/>
        <v>105000</v>
      </c>
      <c r="X56" s="4">
        <f t="shared" si="171"/>
        <v>105000</v>
      </c>
      <c r="Y56" s="4">
        <f t="shared" si="171"/>
        <v>105000</v>
      </c>
      <c r="Z56" s="4">
        <f t="shared" si="171"/>
        <v>105000</v>
      </c>
      <c r="AA56" s="4">
        <f t="shared" si="171"/>
        <v>105000</v>
      </c>
      <c r="AB56" s="4">
        <f t="shared" si="171"/>
        <v>105000</v>
      </c>
      <c r="AC56" s="4">
        <f t="shared" si="171"/>
        <v>105000</v>
      </c>
      <c r="AD56" s="4">
        <f>+SUM(R56:AC56)</f>
        <v>1207500</v>
      </c>
      <c r="AE56" s="4">
        <f>+AC51</f>
        <v>105000</v>
      </c>
      <c r="AF56" s="4">
        <f>+AE51</f>
        <v>136500</v>
      </c>
      <c r="AG56" s="4">
        <f>+AF51</f>
        <v>136500</v>
      </c>
      <c r="AH56" s="4">
        <f t="shared" ref="AH56:AP56" si="172">+AG51</f>
        <v>136500</v>
      </c>
      <c r="AI56" s="4">
        <f t="shared" si="172"/>
        <v>136500</v>
      </c>
      <c r="AJ56" s="4">
        <f t="shared" si="172"/>
        <v>136500</v>
      </c>
      <c r="AK56" s="4">
        <f t="shared" si="172"/>
        <v>136500</v>
      </c>
      <c r="AL56" s="4">
        <f t="shared" si="172"/>
        <v>136500</v>
      </c>
      <c r="AM56" s="4">
        <f t="shared" si="172"/>
        <v>136500</v>
      </c>
      <c r="AN56" s="4">
        <f t="shared" si="172"/>
        <v>136500</v>
      </c>
      <c r="AO56" s="4">
        <f t="shared" si="172"/>
        <v>136500</v>
      </c>
      <c r="AP56" s="4">
        <f t="shared" si="172"/>
        <v>136500</v>
      </c>
      <c r="AQ56" s="4">
        <f>+SUM(AE56:AP56)</f>
        <v>1606500</v>
      </c>
      <c r="AR56" s="4">
        <f>+AP51</f>
        <v>136500</v>
      </c>
      <c r="AS56" s="4">
        <f>+AR51</f>
        <v>177625</v>
      </c>
      <c r="AT56" s="4">
        <f>+AS51</f>
        <v>177625</v>
      </c>
      <c r="AU56" s="4">
        <f t="shared" ref="AU56:BC56" si="173">+AT51</f>
        <v>177625</v>
      </c>
      <c r="AV56" s="4">
        <f t="shared" si="173"/>
        <v>177625</v>
      </c>
      <c r="AW56" s="4">
        <f t="shared" si="173"/>
        <v>177625</v>
      </c>
      <c r="AX56" s="4">
        <f t="shared" si="173"/>
        <v>177625</v>
      </c>
      <c r="AY56" s="4">
        <f t="shared" si="173"/>
        <v>177625</v>
      </c>
      <c r="AZ56" s="4">
        <f t="shared" si="173"/>
        <v>177625</v>
      </c>
      <c r="BA56" s="4">
        <f t="shared" si="173"/>
        <v>177625</v>
      </c>
      <c r="BB56" s="4">
        <f t="shared" si="173"/>
        <v>177625</v>
      </c>
      <c r="BC56" s="4">
        <f t="shared" si="173"/>
        <v>177625</v>
      </c>
      <c r="BD56" s="4">
        <f>+SUM(AR56:BC56)</f>
        <v>2090375</v>
      </c>
      <c r="BE56" s="4">
        <f>+BC51</f>
        <v>177625</v>
      </c>
      <c r="BF56" s="4">
        <f>+BE51</f>
        <v>230999.99999999997</v>
      </c>
      <c r="BG56" s="4">
        <f>+BF51</f>
        <v>230999.99999999997</v>
      </c>
      <c r="BH56" s="4">
        <f t="shared" ref="BH56:BN56" si="174">+BG51</f>
        <v>230999.99999999997</v>
      </c>
      <c r="BI56" s="4">
        <f t="shared" si="174"/>
        <v>230999.99999999997</v>
      </c>
      <c r="BJ56" s="4">
        <f t="shared" si="174"/>
        <v>230999.99999999997</v>
      </c>
      <c r="BK56" s="4">
        <f t="shared" si="174"/>
        <v>230999.99999999997</v>
      </c>
      <c r="BL56" s="4">
        <f t="shared" si="174"/>
        <v>230999.99999999997</v>
      </c>
      <c r="BM56" s="4">
        <f t="shared" si="174"/>
        <v>230999.99999999997</v>
      </c>
      <c r="BN56" s="4">
        <f t="shared" si="174"/>
        <v>230999.99999999997</v>
      </c>
      <c r="BO56" s="4">
        <f>+BN51</f>
        <v>150150</v>
      </c>
      <c r="BP56" s="4">
        <f>+BO51</f>
        <v>52552.5</v>
      </c>
      <c r="BQ56" s="4">
        <f>+SUM(BE56:BP56)</f>
        <v>2459327.5</v>
      </c>
      <c r="BR56" s="7"/>
    </row>
    <row r="57" spans="3:70" x14ac:dyDescent="0.2">
      <c r="C57" s="1" t="s">
        <v>169</v>
      </c>
      <c r="D57" s="4">
        <v>0</v>
      </c>
      <c r="E57" s="4">
        <v>0</v>
      </c>
      <c r="F57" s="4"/>
      <c r="G57" s="4">
        <f>+E52</f>
        <v>35625.000000000007</v>
      </c>
      <c r="H57" s="4">
        <f t="shared" ref="H57" si="175">+F52</f>
        <v>35625.000000000007</v>
      </c>
      <c r="I57" s="4">
        <f t="shared" ref="I57:O57" si="176">+G52</f>
        <v>41250.000000000007</v>
      </c>
      <c r="J57" s="4">
        <f t="shared" si="176"/>
        <v>45000.000000000007</v>
      </c>
      <c r="K57" s="4">
        <f t="shared" si="176"/>
        <v>45000.000000000007</v>
      </c>
      <c r="L57" s="4">
        <f t="shared" si="176"/>
        <v>45000.000000000007</v>
      </c>
      <c r="M57" s="4">
        <f t="shared" si="176"/>
        <v>45000.000000000007</v>
      </c>
      <c r="N57" s="4">
        <f t="shared" si="176"/>
        <v>45000.000000000007</v>
      </c>
      <c r="O57" s="4">
        <f t="shared" si="176"/>
        <v>45000.000000000007</v>
      </c>
      <c r="P57" s="4">
        <f>+SUM(D57:O57)</f>
        <v>382500.00000000006</v>
      </c>
      <c r="Q57" s="4"/>
      <c r="R57" s="4">
        <f>+N52</f>
        <v>45000.000000000007</v>
      </c>
      <c r="S57" s="4">
        <f>+O52</f>
        <v>45000.000000000007</v>
      </c>
      <c r="T57" s="4">
        <f>+R52</f>
        <v>90000.000000000015</v>
      </c>
      <c r="U57" s="4">
        <f>+S52</f>
        <v>90000.000000000015</v>
      </c>
      <c r="V57" s="4">
        <f t="shared" ref="V57:AC57" si="177">+T52</f>
        <v>90000.000000000015</v>
      </c>
      <c r="W57" s="4">
        <f t="shared" si="177"/>
        <v>90000.000000000015</v>
      </c>
      <c r="X57" s="4">
        <f t="shared" si="177"/>
        <v>90000.000000000015</v>
      </c>
      <c r="Y57" s="4">
        <f t="shared" si="177"/>
        <v>90000.000000000015</v>
      </c>
      <c r="Z57" s="4">
        <f t="shared" si="177"/>
        <v>90000.000000000015</v>
      </c>
      <c r="AA57" s="4">
        <f t="shared" si="177"/>
        <v>90000.000000000015</v>
      </c>
      <c r="AB57" s="4">
        <f t="shared" si="177"/>
        <v>90000.000000000015</v>
      </c>
      <c r="AC57" s="4">
        <f t="shared" si="177"/>
        <v>90000.000000000015</v>
      </c>
      <c r="AD57" s="4">
        <f t="shared" ref="AD57:AD59" si="178">+SUM(R57:AC57)</f>
        <v>990000.00000000012</v>
      </c>
      <c r="AE57" s="4">
        <f>+AB52</f>
        <v>90000.000000000015</v>
      </c>
      <c r="AF57" s="4">
        <f>+AC52</f>
        <v>90000.000000000015</v>
      </c>
      <c r="AG57" s="4">
        <f>+AE52</f>
        <v>117000.00000000001</v>
      </c>
      <c r="AH57" s="4">
        <f>+AF52</f>
        <v>117000.00000000001</v>
      </c>
      <c r="AI57" s="4">
        <f t="shared" ref="AI57" si="179">+AG52</f>
        <v>117000.00000000001</v>
      </c>
      <c r="AJ57" s="4">
        <f t="shared" ref="AJ57" si="180">+AH52</f>
        <v>117000.00000000001</v>
      </c>
      <c r="AK57" s="4">
        <f t="shared" ref="AK57" si="181">+AI52</f>
        <v>117000.00000000001</v>
      </c>
      <c r="AL57" s="4">
        <f t="shared" ref="AL57" si="182">+AJ52</f>
        <v>117000.00000000001</v>
      </c>
      <c r="AM57" s="4">
        <f t="shared" ref="AM57" si="183">+AK52</f>
        <v>117000.00000000001</v>
      </c>
      <c r="AN57" s="4">
        <f t="shared" ref="AN57" si="184">+AL52</f>
        <v>117000.00000000001</v>
      </c>
      <c r="AO57" s="4">
        <f t="shared" ref="AO57" si="185">+AM52</f>
        <v>117000.00000000001</v>
      </c>
      <c r="AP57" s="4">
        <f t="shared" ref="AP57" si="186">+AN52</f>
        <v>117000.00000000001</v>
      </c>
      <c r="AQ57" s="4">
        <f t="shared" ref="AQ57:AQ59" si="187">+SUM(AE57:AP57)</f>
        <v>1350000.0000000002</v>
      </c>
      <c r="AR57" s="4">
        <f>+AO52</f>
        <v>117000.00000000001</v>
      </c>
      <c r="AS57" s="4">
        <f>+AP52</f>
        <v>117000.00000000001</v>
      </c>
      <c r="AT57" s="4">
        <f>+AR52</f>
        <v>152250.00000000003</v>
      </c>
      <c r="AU57" s="4">
        <f>+AS52</f>
        <v>152250.00000000003</v>
      </c>
      <c r="AV57" s="4">
        <f t="shared" ref="AV57" si="188">+AT52</f>
        <v>152250.00000000003</v>
      </c>
      <c r="AW57" s="4">
        <f t="shared" ref="AW57" si="189">+AU52</f>
        <v>152250.00000000003</v>
      </c>
      <c r="AX57" s="4">
        <f t="shared" ref="AX57" si="190">+AV52</f>
        <v>152250.00000000003</v>
      </c>
      <c r="AY57" s="4">
        <f t="shared" ref="AY57" si="191">+AW52</f>
        <v>152250.00000000003</v>
      </c>
      <c r="AZ57" s="4">
        <f t="shared" ref="AZ57" si="192">+AX52</f>
        <v>152250.00000000003</v>
      </c>
      <c r="BA57" s="4">
        <f t="shared" ref="BA57" si="193">+AY52</f>
        <v>152250.00000000003</v>
      </c>
      <c r="BB57" s="4">
        <f t="shared" ref="BB57" si="194">+AZ52</f>
        <v>152250.00000000003</v>
      </c>
      <c r="BC57" s="4">
        <f t="shared" ref="BC57" si="195">+BA52</f>
        <v>152250.00000000003</v>
      </c>
      <c r="BD57" s="4">
        <f t="shared" ref="BD57:BD59" si="196">+SUM(AR57:BC57)</f>
        <v>1756500.0000000002</v>
      </c>
      <c r="BE57" s="4">
        <f>+BB52</f>
        <v>152250.00000000003</v>
      </c>
      <c r="BF57" s="4">
        <f>+BC52</f>
        <v>152250.00000000003</v>
      </c>
      <c r="BG57" s="4">
        <f>+BE52</f>
        <v>198000.00000000003</v>
      </c>
      <c r="BH57" s="4">
        <f>+BF52</f>
        <v>198000.00000000003</v>
      </c>
      <c r="BI57" s="4">
        <f t="shared" ref="BI57" si="197">+BG52</f>
        <v>198000.00000000003</v>
      </c>
      <c r="BJ57" s="4">
        <f t="shared" ref="BJ57" si="198">+BH52</f>
        <v>198000.00000000003</v>
      </c>
      <c r="BK57" s="4">
        <f t="shared" ref="BK57" si="199">+BI52</f>
        <v>198000.00000000003</v>
      </c>
      <c r="BL57" s="4">
        <f t="shared" ref="BL57" si="200">+BJ52</f>
        <v>198000.00000000003</v>
      </c>
      <c r="BM57" s="4">
        <f t="shared" ref="BM57" si="201">+BK52</f>
        <v>198000.00000000003</v>
      </c>
      <c r="BN57" s="4">
        <f t="shared" ref="BN57" si="202">+BL52</f>
        <v>198000.00000000003</v>
      </c>
      <c r="BO57" s="4">
        <f>+BM52</f>
        <v>198000.00000000003</v>
      </c>
      <c r="BP57" s="4">
        <f>+BN52</f>
        <v>128700.00000000001</v>
      </c>
      <c r="BQ57" s="4">
        <f t="shared" ref="BQ57:BQ59" si="203">+SUM(BE57:BP57)</f>
        <v>2215200.0000000005</v>
      </c>
      <c r="BR57" s="4"/>
    </row>
    <row r="58" spans="3:70" x14ac:dyDescent="0.2">
      <c r="C58" s="1" t="s">
        <v>170</v>
      </c>
      <c r="D58" s="4">
        <v>0</v>
      </c>
      <c r="E58" s="4">
        <v>0</v>
      </c>
      <c r="F58" s="4"/>
      <c r="G58" s="4"/>
      <c r="H58" s="4">
        <f>+E53</f>
        <v>41562.5</v>
      </c>
      <c r="I58" s="4">
        <f t="shared" ref="I58:N58" si="204">+F53</f>
        <v>41562.5</v>
      </c>
      <c r="J58" s="4">
        <f t="shared" si="204"/>
        <v>48125</v>
      </c>
      <c r="K58" s="4">
        <f t="shared" si="204"/>
        <v>52500</v>
      </c>
      <c r="L58" s="4">
        <f t="shared" si="204"/>
        <v>52500</v>
      </c>
      <c r="M58" s="4">
        <f t="shared" si="204"/>
        <v>52500</v>
      </c>
      <c r="N58" s="4">
        <f t="shared" si="204"/>
        <v>52500</v>
      </c>
      <c r="O58" s="4">
        <f>+L53</f>
        <v>52500</v>
      </c>
      <c r="P58" s="4">
        <f>+SUM(D58:O58)</f>
        <v>393750</v>
      </c>
      <c r="Q58" s="4"/>
      <c r="R58" s="4">
        <f>M53</f>
        <v>52500</v>
      </c>
      <c r="S58" s="4">
        <f>N53</f>
        <v>52500</v>
      </c>
      <c r="T58" s="4">
        <f>O53</f>
        <v>52500</v>
      </c>
      <c r="U58" s="4">
        <f>R53</f>
        <v>105000</v>
      </c>
      <c r="V58" s="4">
        <f t="shared" ref="V58:AC58" si="205">S53</f>
        <v>105000</v>
      </c>
      <c r="W58" s="4">
        <f t="shared" si="205"/>
        <v>105000</v>
      </c>
      <c r="X58" s="4">
        <f t="shared" si="205"/>
        <v>105000</v>
      </c>
      <c r="Y58" s="4">
        <f t="shared" si="205"/>
        <v>105000</v>
      </c>
      <c r="Z58" s="4">
        <f t="shared" si="205"/>
        <v>105000</v>
      </c>
      <c r="AA58" s="4">
        <f t="shared" si="205"/>
        <v>105000</v>
      </c>
      <c r="AB58" s="4">
        <f t="shared" si="205"/>
        <v>105000</v>
      </c>
      <c r="AC58" s="4">
        <f t="shared" si="205"/>
        <v>105000</v>
      </c>
      <c r="AD58" s="4">
        <f t="shared" si="178"/>
        <v>1102500</v>
      </c>
      <c r="AE58" s="4">
        <f>AA53</f>
        <v>105000</v>
      </c>
      <c r="AF58" s="4">
        <f>AB53</f>
        <v>105000</v>
      </c>
      <c r="AG58" s="4">
        <f>AC53</f>
        <v>105000</v>
      </c>
      <c r="AH58" s="4">
        <f>AE53</f>
        <v>136500</v>
      </c>
      <c r="AI58" s="4">
        <f t="shared" ref="AI58" si="206">AF53</f>
        <v>136500</v>
      </c>
      <c r="AJ58" s="4">
        <f t="shared" ref="AJ58" si="207">AG53</f>
        <v>136500</v>
      </c>
      <c r="AK58" s="4">
        <f t="shared" ref="AK58" si="208">AH53</f>
        <v>136500</v>
      </c>
      <c r="AL58" s="4">
        <f t="shared" ref="AL58" si="209">AI53</f>
        <v>136500</v>
      </c>
      <c r="AM58" s="4">
        <f t="shared" ref="AM58" si="210">AJ53</f>
        <v>136500</v>
      </c>
      <c r="AN58" s="4">
        <f t="shared" ref="AN58" si="211">AK53</f>
        <v>136500</v>
      </c>
      <c r="AO58" s="4">
        <f t="shared" ref="AO58" si="212">AL53</f>
        <v>136500</v>
      </c>
      <c r="AP58" s="4">
        <f t="shared" ref="AP58" si="213">AM53</f>
        <v>136500</v>
      </c>
      <c r="AQ58" s="4">
        <f t="shared" si="187"/>
        <v>1543500</v>
      </c>
      <c r="AR58" s="4">
        <f>AN53</f>
        <v>136500</v>
      </c>
      <c r="AS58" s="4">
        <f>AO53</f>
        <v>136500</v>
      </c>
      <c r="AT58" s="4">
        <f>AP53</f>
        <v>136500</v>
      </c>
      <c r="AU58" s="4">
        <f>AR53</f>
        <v>177625</v>
      </c>
      <c r="AV58" s="4">
        <f t="shared" ref="AV58" si="214">AS53</f>
        <v>177625</v>
      </c>
      <c r="AW58" s="4">
        <f t="shared" ref="AW58" si="215">AT53</f>
        <v>177625</v>
      </c>
      <c r="AX58" s="4">
        <f t="shared" ref="AX58" si="216">AU53</f>
        <v>177625</v>
      </c>
      <c r="AY58" s="4">
        <f t="shared" ref="AY58" si="217">AV53</f>
        <v>177625</v>
      </c>
      <c r="AZ58" s="4">
        <f t="shared" ref="AZ58" si="218">AW53</f>
        <v>177625</v>
      </c>
      <c r="BA58" s="4">
        <f t="shared" ref="BA58" si="219">AX53</f>
        <v>177625</v>
      </c>
      <c r="BB58" s="4">
        <f t="shared" ref="BB58" si="220">AY53</f>
        <v>177625</v>
      </c>
      <c r="BC58" s="4">
        <f t="shared" ref="BC58" si="221">AZ53</f>
        <v>177625</v>
      </c>
      <c r="BD58" s="4">
        <f t="shared" si="196"/>
        <v>2008125</v>
      </c>
      <c r="BE58" s="4">
        <f>BA53</f>
        <v>177625</v>
      </c>
      <c r="BF58" s="4">
        <f>BB53</f>
        <v>177625</v>
      </c>
      <c r="BG58" s="4">
        <f>BC53</f>
        <v>177625</v>
      </c>
      <c r="BH58" s="4">
        <f>BE53</f>
        <v>230999.99999999997</v>
      </c>
      <c r="BI58" s="4">
        <f t="shared" ref="BI58" si="222">BF53</f>
        <v>230999.99999999997</v>
      </c>
      <c r="BJ58" s="4">
        <f t="shared" ref="BJ58" si="223">BG53</f>
        <v>230999.99999999997</v>
      </c>
      <c r="BK58" s="4">
        <f t="shared" ref="BK58" si="224">BH53</f>
        <v>230999.99999999997</v>
      </c>
      <c r="BL58" s="4">
        <f t="shared" ref="BL58" si="225">BI53</f>
        <v>230999.99999999997</v>
      </c>
      <c r="BM58" s="4">
        <f t="shared" ref="BM58" si="226">BJ53</f>
        <v>230999.99999999997</v>
      </c>
      <c r="BN58" s="4">
        <f t="shared" ref="BN58" si="227">BK53</f>
        <v>230999.99999999997</v>
      </c>
      <c r="BO58" s="4">
        <f>BL53</f>
        <v>230999.99999999997</v>
      </c>
      <c r="BP58" s="4">
        <f>BM53</f>
        <v>230999.99999999997</v>
      </c>
      <c r="BQ58" s="4">
        <f t="shared" si="203"/>
        <v>2611875</v>
      </c>
      <c r="BR58" s="7"/>
    </row>
    <row r="59" spans="3:70" x14ac:dyDescent="0.2">
      <c r="C59" s="74" t="s">
        <v>171</v>
      </c>
      <c r="D59" s="75">
        <f>+D56+D57+D58</f>
        <v>0</v>
      </c>
      <c r="E59" s="75">
        <f t="shared" ref="E59" si="228">+E56+E57+E58</f>
        <v>0</v>
      </c>
      <c r="F59" s="75">
        <f>+F56+F57+F58</f>
        <v>41562.5</v>
      </c>
      <c r="G59" s="75">
        <f t="shared" ref="G59:O59" si="229">+G56+G57+G58</f>
        <v>77187.5</v>
      </c>
      <c r="H59" s="75">
        <f t="shared" si="229"/>
        <v>125312.5</v>
      </c>
      <c r="I59" s="75">
        <f t="shared" si="229"/>
        <v>135312.5</v>
      </c>
      <c r="J59" s="75">
        <f t="shared" si="229"/>
        <v>145625</v>
      </c>
      <c r="K59" s="75">
        <f t="shared" si="229"/>
        <v>150000</v>
      </c>
      <c r="L59" s="75">
        <f t="shared" si="229"/>
        <v>150000</v>
      </c>
      <c r="M59" s="75">
        <f t="shared" si="229"/>
        <v>150000</v>
      </c>
      <c r="N59" s="75">
        <f t="shared" si="229"/>
        <v>150000</v>
      </c>
      <c r="O59" s="75">
        <f t="shared" si="229"/>
        <v>150000</v>
      </c>
      <c r="P59" s="6">
        <f>+O59</f>
        <v>150000</v>
      </c>
      <c r="Q59" s="6"/>
      <c r="R59" s="75">
        <f>+R56+R57+R58</f>
        <v>150000</v>
      </c>
      <c r="S59" s="75">
        <f t="shared" ref="S59" si="230">+S56+S57+S58</f>
        <v>202500</v>
      </c>
      <c r="T59" s="75">
        <f>+T56+T57+T58</f>
        <v>247500</v>
      </c>
      <c r="U59" s="75">
        <f t="shared" ref="U59:AB59" si="231">+U56+U57+U58</f>
        <v>300000</v>
      </c>
      <c r="V59" s="75">
        <f t="shared" si="231"/>
        <v>300000</v>
      </c>
      <c r="W59" s="75">
        <f t="shared" si="231"/>
        <v>300000</v>
      </c>
      <c r="X59" s="75">
        <f t="shared" si="231"/>
        <v>300000</v>
      </c>
      <c r="Y59" s="75">
        <f t="shared" si="231"/>
        <v>300000</v>
      </c>
      <c r="Z59" s="75">
        <f t="shared" si="231"/>
        <v>300000</v>
      </c>
      <c r="AA59" s="75">
        <f t="shared" si="231"/>
        <v>300000</v>
      </c>
      <c r="AB59" s="75">
        <f t="shared" si="231"/>
        <v>300000</v>
      </c>
      <c r="AC59" s="75">
        <f>+AC56+AC57+AC58</f>
        <v>300000</v>
      </c>
      <c r="AD59" s="75">
        <f t="shared" si="178"/>
        <v>3300000</v>
      </c>
      <c r="AE59" s="75">
        <f>+AE56+AE57+AE58</f>
        <v>300000</v>
      </c>
      <c r="AF59" s="75">
        <f t="shared" ref="AF59" si="232">+AF56+AF57+AF58</f>
        <v>331500</v>
      </c>
      <c r="AG59" s="75">
        <f>+AG56+AG57+AG58</f>
        <v>358500</v>
      </c>
      <c r="AH59" s="75">
        <f t="shared" ref="AH59:AO59" si="233">+AH56+AH57+AH58</f>
        <v>390000</v>
      </c>
      <c r="AI59" s="75">
        <f t="shared" si="233"/>
        <v>390000</v>
      </c>
      <c r="AJ59" s="75">
        <f t="shared" si="233"/>
        <v>390000</v>
      </c>
      <c r="AK59" s="75">
        <f t="shared" si="233"/>
        <v>390000</v>
      </c>
      <c r="AL59" s="75">
        <f t="shared" si="233"/>
        <v>390000</v>
      </c>
      <c r="AM59" s="75">
        <f t="shared" si="233"/>
        <v>390000</v>
      </c>
      <c r="AN59" s="75">
        <f t="shared" si="233"/>
        <v>390000</v>
      </c>
      <c r="AO59" s="75">
        <f t="shared" si="233"/>
        <v>390000</v>
      </c>
      <c r="AP59" s="75">
        <f>+AP56+AP57+AP58</f>
        <v>390000</v>
      </c>
      <c r="AQ59" s="75">
        <f t="shared" si="187"/>
        <v>4500000</v>
      </c>
      <c r="AR59" s="75">
        <f>+AR56+AR57+AR58</f>
        <v>390000</v>
      </c>
      <c r="AS59" s="75">
        <f t="shared" ref="AS59" si="234">+AS56+AS57+AS58</f>
        <v>431125</v>
      </c>
      <c r="AT59" s="75">
        <f>+AT56+AT57+AT58</f>
        <v>466375</v>
      </c>
      <c r="AU59" s="75">
        <f t="shared" ref="AU59:BB59" si="235">+AU56+AU57+AU58</f>
        <v>507500</v>
      </c>
      <c r="AV59" s="75">
        <f t="shared" si="235"/>
        <v>507500</v>
      </c>
      <c r="AW59" s="75">
        <f t="shared" si="235"/>
        <v>507500</v>
      </c>
      <c r="AX59" s="75">
        <f t="shared" si="235"/>
        <v>507500</v>
      </c>
      <c r="AY59" s="75">
        <f t="shared" si="235"/>
        <v>507500</v>
      </c>
      <c r="AZ59" s="75">
        <f t="shared" si="235"/>
        <v>507500</v>
      </c>
      <c r="BA59" s="75">
        <f t="shared" si="235"/>
        <v>507500</v>
      </c>
      <c r="BB59" s="75">
        <f t="shared" si="235"/>
        <v>507500</v>
      </c>
      <c r="BC59" s="75">
        <f>+BC56+BC57+BC58</f>
        <v>507500</v>
      </c>
      <c r="BD59" s="75">
        <f t="shared" si="196"/>
        <v>5855000</v>
      </c>
      <c r="BE59" s="75">
        <f>+BE56+BE57+BE58</f>
        <v>507500</v>
      </c>
      <c r="BF59" s="75">
        <f t="shared" ref="BF59" si="236">+BF56+BF57+BF58</f>
        <v>560875</v>
      </c>
      <c r="BG59" s="75">
        <f>+BG56+BG57+BG58</f>
        <v>606625</v>
      </c>
      <c r="BH59" s="75">
        <f t="shared" ref="BH59:BN59" si="237">+BH56+BH57+BH58</f>
        <v>660000</v>
      </c>
      <c r="BI59" s="75">
        <f t="shared" si="237"/>
        <v>660000</v>
      </c>
      <c r="BJ59" s="75">
        <f t="shared" si="237"/>
        <v>660000</v>
      </c>
      <c r="BK59" s="75">
        <f t="shared" si="237"/>
        <v>660000</v>
      </c>
      <c r="BL59" s="75">
        <f t="shared" si="237"/>
        <v>660000</v>
      </c>
      <c r="BM59" s="75">
        <f t="shared" si="237"/>
        <v>660000</v>
      </c>
      <c r="BN59" s="75">
        <f t="shared" si="237"/>
        <v>660000</v>
      </c>
      <c r="BO59" s="75">
        <f>+BO56+BO57+BO58</f>
        <v>579150</v>
      </c>
      <c r="BP59" s="75">
        <f>+BP56+BP57+BP58</f>
        <v>412252.5</v>
      </c>
      <c r="BQ59" s="75">
        <f t="shared" si="203"/>
        <v>7286402.5</v>
      </c>
      <c r="BR59" s="8"/>
    </row>
    <row r="60" spans="3:70" x14ac:dyDescent="0.2">
      <c r="C60" s="2" t="s">
        <v>172</v>
      </c>
      <c r="D60" s="4"/>
      <c r="E60" s="4"/>
      <c r="F60" s="4">
        <f>+E61*$D$84/360*30</f>
        <v>188.02083333333331</v>
      </c>
      <c r="G60" s="4">
        <f t="shared" ref="G60:O60" si="238">+F61*$D$84/360*30</f>
        <v>309.93667534722215</v>
      </c>
      <c r="H60" s="4">
        <f t="shared" si="238"/>
        <v>404.94073394458906</v>
      </c>
      <c r="I60" s="4">
        <f t="shared" si="238"/>
        <v>443.38811944917677</v>
      </c>
      <c r="J60" s="4">
        <f t="shared" si="238"/>
        <v>466.64332778251014</v>
      </c>
      <c r="K60" s="4">
        <f t="shared" si="238"/>
        <v>472.83155918018787</v>
      </c>
      <c r="L60" s="4">
        <f t="shared" si="238"/>
        <v>472.08290921148591</v>
      </c>
      <c r="M60" s="4">
        <f t="shared" si="238"/>
        <v>471.33544460523444</v>
      </c>
      <c r="N60" s="4">
        <f t="shared" si="238"/>
        <v>470.58916348460951</v>
      </c>
      <c r="O60" s="4">
        <f t="shared" si="238"/>
        <v>469.84406397575884</v>
      </c>
      <c r="P60" s="6">
        <f>+SUM(D60:O60)</f>
        <v>4169.6128303141077</v>
      </c>
      <c r="Q60" s="4"/>
      <c r="R60" s="4">
        <f t="shared" ref="R60:S60" si="239">+Q61*$D$84/360*30</f>
        <v>0</v>
      </c>
      <c r="S60" s="4">
        <f t="shared" si="239"/>
        <v>706.60014420779714</v>
      </c>
      <c r="T60" s="4">
        <f>+S61*$D$84/360*30</f>
        <v>859.85636064613482</v>
      </c>
      <c r="U60" s="4">
        <f t="shared" ref="U60:AC60" si="240">+T61*$D$84/360*30</f>
        <v>941.61992140844507</v>
      </c>
      <c r="V60" s="4">
        <f t="shared" si="240"/>
        <v>940.12902319954844</v>
      </c>
      <c r="W60" s="4">
        <f t="shared" si="240"/>
        <v>938.6404855794824</v>
      </c>
      <c r="X60" s="4">
        <f t="shared" si="240"/>
        <v>937.15430481064823</v>
      </c>
      <c r="Y60" s="4">
        <f t="shared" si="240"/>
        <v>935.6704771613646</v>
      </c>
      <c r="Z60" s="4">
        <f t="shared" si="240"/>
        <v>934.18899890585908</v>
      </c>
      <c r="AA60" s="4">
        <f t="shared" si="240"/>
        <v>932.7098663242582</v>
      </c>
      <c r="AB60" s="4">
        <f t="shared" si="240"/>
        <v>931.23307570257828</v>
      </c>
      <c r="AC60" s="4">
        <f t="shared" si="240"/>
        <v>929.75862333271573</v>
      </c>
      <c r="AD60" s="6">
        <f>+SUM(R60:AC60)</f>
        <v>9987.5612812788313</v>
      </c>
      <c r="AE60" s="4">
        <f t="shared" ref="AE60:AF60" si="241">+AD61*$D$84/360*30</f>
        <v>928.28650551243891</v>
      </c>
      <c r="AF60" s="4">
        <f t="shared" si="241"/>
        <v>1069.3167185453776</v>
      </c>
      <c r="AG60" s="4">
        <f>+AF61*$D$84/360*30</f>
        <v>1160.2486337410144</v>
      </c>
      <c r="AH60" s="4">
        <f t="shared" ref="AH60:AP60" si="242">+AG61*$D$84/360*30</f>
        <v>1208.286573404258</v>
      </c>
      <c r="AI60" s="4">
        <f t="shared" si="242"/>
        <v>1206.3734529963681</v>
      </c>
      <c r="AJ60" s="4">
        <f t="shared" si="242"/>
        <v>1204.4633616957904</v>
      </c>
      <c r="AK60" s="4">
        <f t="shared" si="242"/>
        <v>1202.5562947064386</v>
      </c>
      <c r="AL60" s="4">
        <f t="shared" si="242"/>
        <v>1200.6522472398203</v>
      </c>
      <c r="AM60" s="4">
        <f t="shared" si="242"/>
        <v>1198.751214515024</v>
      </c>
      <c r="AN60" s="4">
        <f t="shared" si="242"/>
        <v>1196.8531917587086</v>
      </c>
      <c r="AO60" s="4">
        <f t="shared" si="242"/>
        <v>1194.9581742050905</v>
      </c>
      <c r="AP60" s="4">
        <f t="shared" si="242"/>
        <v>1193.0661570959323</v>
      </c>
      <c r="AQ60" s="6">
        <f>+SUM(AE60:AP60)</f>
        <v>13963.812525416262</v>
      </c>
      <c r="AR60" s="4">
        <f t="shared" ref="AR60:AS60" si="243">+AQ61*$D$84/360*30</f>
        <v>1191.1771356805302</v>
      </c>
      <c r="AS60" s="4">
        <f t="shared" si="243"/>
        <v>1375.3327718823691</v>
      </c>
      <c r="AT60" s="4">
        <f>+AS61*$D$84/360*30</f>
        <v>1494.0822449935552</v>
      </c>
      <c r="AU60" s="4">
        <f t="shared" ref="AU60:BC60" si="244">+AT61*$D$84/360*30</f>
        <v>1556.8311981056488</v>
      </c>
      <c r="AV60" s="4">
        <f t="shared" si="244"/>
        <v>1554.3662153753151</v>
      </c>
      <c r="AW60" s="4">
        <f t="shared" si="244"/>
        <v>1551.905135534304</v>
      </c>
      <c r="AX60" s="4">
        <f t="shared" si="244"/>
        <v>1549.4479524030419</v>
      </c>
      <c r="AY60" s="4">
        <f t="shared" si="244"/>
        <v>1546.9946598117372</v>
      </c>
      <c r="AZ60" s="4">
        <f t="shared" si="244"/>
        <v>1544.5452516003686</v>
      </c>
      <c r="BA60" s="4">
        <f t="shared" si="244"/>
        <v>1542.0997216186681</v>
      </c>
      <c r="BB60" s="4">
        <f t="shared" si="244"/>
        <v>1539.6580637261052</v>
      </c>
      <c r="BC60" s="4">
        <f t="shared" si="244"/>
        <v>1537.2202717918724</v>
      </c>
      <c r="BD60" s="6">
        <f>+SUM(AR60:BC60)</f>
        <v>17983.660622523515</v>
      </c>
      <c r="BE60" s="4">
        <f t="shared" ref="BE60:BF60" si="245">+BD61*$D$84/360*30</f>
        <v>1534.786339694868</v>
      </c>
      <c r="BF60" s="4">
        <f t="shared" si="245"/>
        <v>1773.8145946570182</v>
      </c>
      <c r="BG60" s="4">
        <f>+BF61*$D$84/360*30</f>
        <v>1927.9539715488115</v>
      </c>
      <c r="BH60" s="4">
        <f t="shared" ref="BH60:BP60" si="246">+BG61*$D$84/360*30</f>
        <v>2009.4117944271925</v>
      </c>
      <c r="BI60" s="4">
        <f t="shared" si="246"/>
        <v>2006.2302257526831</v>
      </c>
      <c r="BJ60" s="4">
        <f t="shared" si="246"/>
        <v>2003.0536945619083</v>
      </c>
      <c r="BK60" s="4">
        <f t="shared" si="246"/>
        <v>1999.882192878852</v>
      </c>
      <c r="BL60" s="4">
        <f t="shared" si="246"/>
        <v>1996.7157127401272</v>
      </c>
      <c r="BM60" s="4">
        <f t="shared" si="246"/>
        <v>1993.5542461949553</v>
      </c>
      <c r="BN60" s="4">
        <f t="shared" si="246"/>
        <v>1990.3977853051467</v>
      </c>
      <c r="BO60" s="4">
        <f t="shared" si="246"/>
        <v>1621.4963221450805</v>
      </c>
      <c r="BP60" s="4">
        <f t="shared" si="246"/>
        <v>939.67895296835047</v>
      </c>
      <c r="BQ60" s="6">
        <f>+SUM(BE60:BP60)</f>
        <v>21796.975832874996</v>
      </c>
      <c r="BR60" s="8"/>
    </row>
    <row r="61" spans="3:70" hidden="1" outlineLevel="1" x14ac:dyDescent="0.2">
      <c r="C61" s="72" t="s">
        <v>166</v>
      </c>
      <c r="D61" s="73">
        <v>0</v>
      </c>
      <c r="E61" s="73">
        <f>+E49+E50-E59-E60</f>
        <v>118750</v>
      </c>
      <c r="F61" s="73">
        <f>+F49+F50-F59-F60</f>
        <v>195749.47916666666</v>
      </c>
      <c r="G61" s="73">
        <f>+G49+G50-G59-G60</f>
        <v>255752.04249131941</v>
      </c>
      <c r="H61" s="73">
        <f t="shared" ref="H61" si="247">+H49+H50-H59-H60</f>
        <v>280034.60175737482</v>
      </c>
      <c r="I61" s="73">
        <f>+I49+I50-I59-I6</f>
        <v>294722.10175737482</v>
      </c>
      <c r="J61" s="73">
        <f t="shared" ref="J61" si="248">+J49+J50-J59-J60</f>
        <v>298630.45842959231</v>
      </c>
      <c r="K61" s="73">
        <f t="shared" ref="K61" si="249">+K49+K50-K59-K60</f>
        <v>298157.62687041215</v>
      </c>
      <c r="L61" s="73">
        <f>+L49+L50-L59-L60</f>
        <v>297685.54396120069</v>
      </c>
      <c r="M61" s="73">
        <f t="shared" ref="M61" si="250">+M49+M50-M59-M60</f>
        <v>297214.20851659548</v>
      </c>
      <c r="N61" s="73">
        <f t="shared" ref="N61" si="251">+N49+N50-N59-N60</f>
        <v>296743.61935311084</v>
      </c>
      <c r="O61" s="73">
        <f t="shared" ref="O61" si="252">+O49+O50-O59-O60</f>
        <v>296273.77528913511</v>
      </c>
      <c r="P61" s="73">
        <f>+O61</f>
        <v>296273.77528913511</v>
      </c>
      <c r="Q61" s="73"/>
      <c r="R61" s="73">
        <f t="shared" ref="R61" si="253">+R49+R50-R59-R60</f>
        <v>446273.77528913505</v>
      </c>
      <c r="S61" s="73">
        <f>+S49+S50-S59-S60</f>
        <v>543067.17514492723</v>
      </c>
      <c r="T61" s="73">
        <f>+T49+T50-T59-T60</f>
        <v>594707.31878428115</v>
      </c>
      <c r="U61" s="73">
        <f>+U49+U50-U59-U60</f>
        <v>593765.69886287267</v>
      </c>
      <c r="V61" s="73">
        <f t="shared" ref="V61" si="254">+V49+V50-V59-V60</f>
        <v>592825.56983967312</v>
      </c>
      <c r="W61" s="73">
        <f t="shared" ref="W61" si="255">+W49+W50-W59-W60</f>
        <v>591886.92935409362</v>
      </c>
      <c r="X61" s="73">
        <f t="shared" ref="X61" si="256">+X49+X50-X59-X60</f>
        <v>590949.77504928294</v>
      </c>
      <c r="Y61" s="73">
        <f t="shared" ref="Y61" si="257">+Y49+Y50-Y59-Y60</f>
        <v>590014.10457212152</v>
      </c>
      <c r="Z61" s="73">
        <f t="shared" ref="Z61" si="258">+Z49+Z50-Z59-Z60</f>
        <v>589079.91557321569</v>
      </c>
      <c r="AA61" s="73">
        <f t="shared" ref="AA61" si="259">+AA49+AA50-AA59-AA60</f>
        <v>588147.20570689149</v>
      </c>
      <c r="AB61" s="73">
        <f t="shared" ref="AB61" si="260">+AB49+AB50-AB59-AB60</f>
        <v>587215.97263118892</v>
      </c>
      <c r="AC61" s="73">
        <f t="shared" ref="AC61" si="261">+AC49+AC50-AC59-AC60</f>
        <v>586286.21400785621</v>
      </c>
      <c r="AD61" s="73">
        <f>+AC61</f>
        <v>586286.21400785621</v>
      </c>
      <c r="AE61" s="73">
        <f>+AE49+AE50-AE59-AE60</f>
        <v>675357.92750234378</v>
      </c>
      <c r="AF61" s="73">
        <f>+AF49+AF50-AF59-AF60</f>
        <v>732788.6107837985</v>
      </c>
      <c r="AG61" s="73">
        <f>+AG49+AG50-AG59-AG60</f>
        <v>763128.36215005757</v>
      </c>
      <c r="AH61" s="73">
        <f>+AH49+AH50-AH59-AH60</f>
        <v>761920.07557665347</v>
      </c>
      <c r="AI61" s="73">
        <f t="shared" ref="AI61" si="262">+AI49+AI50-AI59-AI60</f>
        <v>760713.7021236571</v>
      </c>
      <c r="AJ61" s="73">
        <f t="shared" ref="AJ61" si="263">+AJ49+AJ50-AJ59-AJ60</f>
        <v>759509.23876196134</v>
      </c>
      <c r="AK61" s="73">
        <f t="shared" ref="AK61" si="264">+AK49+AK50-AK59-AK60</f>
        <v>758306.68246725504</v>
      </c>
      <c r="AL61" s="73">
        <f t="shared" ref="AL61" si="265">+AL49+AL50-AL59-AL60</f>
        <v>757106.03022001521</v>
      </c>
      <c r="AM61" s="73">
        <f t="shared" ref="AM61" si="266">+AM49+AM50-AM59-AM60</f>
        <v>755907.27900550014</v>
      </c>
      <c r="AN61" s="73">
        <f t="shared" ref="AN61" si="267">+AN49+AN50-AN59-AN60</f>
        <v>754710.42581374128</v>
      </c>
      <c r="AO61" s="73">
        <f t="shared" ref="AO61" si="268">+AO49+AO50-AO59-AO60</f>
        <v>753515.46763953625</v>
      </c>
      <c r="AP61" s="73">
        <f t="shared" ref="AP61" si="269">+AP49+AP50-AP59-AP60</f>
        <v>752322.40148244018</v>
      </c>
      <c r="AQ61" s="73">
        <f>+AP61</f>
        <v>752322.40148244018</v>
      </c>
      <c r="AR61" s="73">
        <f>+AR49+AR50-AR59-AR60</f>
        <v>868631.2243467595</v>
      </c>
      <c r="AS61" s="73">
        <f>+AS49+AS50-AS59-AS60</f>
        <v>943630.89157487708</v>
      </c>
      <c r="AT61" s="73">
        <f>+AT49+AT50-AT59-AT60</f>
        <v>983261.80932988354</v>
      </c>
      <c r="AU61" s="73">
        <f>+AU49+AU50-AU59-AU60</f>
        <v>981704.97813177796</v>
      </c>
      <c r="AV61" s="73">
        <f t="shared" ref="AV61" si="270">+AV49+AV50-AV59-AV60</f>
        <v>980150.6119164027</v>
      </c>
      <c r="AW61" s="73">
        <f t="shared" ref="AW61" si="271">+AW49+AW50-AW59-AW60</f>
        <v>978598.70678086847</v>
      </c>
      <c r="AX61" s="73">
        <f t="shared" ref="AX61" si="272">+AX49+AX50-AX59-AX60</f>
        <v>977049.25882846559</v>
      </c>
      <c r="AY61" s="73">
        <f t="shared" ref="AY61" si="273">+AY49+AY50-AY59-AY60</f>
        <v>975502.26416865387</v>
      </c>
      <c r="AZ61" s="73">
        <f t="shared" ref="AZ61" si="274">+AZ49+AZ50-AZ59-AZ60</f>
        <v>973957.71891705354</v>
      </c>
      <c r="BA61" s="73">
        <f t="shared" ref="BA61" si="275">+BA49+BA50-BA59-BA60</f>
        <v>972415.61919543496</v>
      </c>
      <c r="BB61" s="73">
        <f t="shared" ref="BB61" si="276">+BB49+BB50-BB59-BB60</f>
        <v>970875.96113170881</v>
      </c>
      <c r="BC61" s="73">
        <f t="shared" ref="BC61" si="277">+BC49+BC50-BC59-BC60</f>
        <v>969338.74085991678</v>
      </c>
      <c r="BD61" s="73">
        <f>+BC61</f>
        <v>969338.74085991678</v>
      </c>
      <c r="BE61" s="73">
        <f>+BE49+BE50-BE59-BE60</f>
        <v>1120303.954520222</v>
      </c>
      <c r="BF61" s="73">
        <f>+BF49+BF50-BF59-BF60</f>
        <v>1217655.1399255651</v>
      </c>
      <c r="BG61" s="73">
        <f>+BG49+BG50-BG59-BG60</f>
        <v>1269102.1859540164</v>
      </c>
      <c r="BH61" s="73">
        <f>+BH49+BH50-BH59-BH60</f>
        <v>1267092.7741595893</v>
      </c>
      <c r="BI61" s="73">
        <f t="shared" ref="BI61" si="278">+BI49+BI50-BI59-BI60</f>
        <v>1265086.5439338367</v>
      </c>
      <c r="BJ61" s="73">
        <f t="shared" ref="BJ61" si="279">+BJ49+BJ50-BJ59-BJ60</f>
        <v>1263083.4902392749</v>
      </c>
      <c r="BK61" s="73">
        <f t="shared" ref="BK61" si="280">+BK49+BK50-BK59-BK60</f>
        <v>1261083.6080463962</v>
      </c>
      <c r="BL61" s="73">
        <f t="shared" ref="BL61" si="281">+BL49+BL50-BL59-BL60</f>
        <v>1259086.8923336561</v>
      </c>
      <c r="BM61" s="73">
        <f t="shared" ref="BM61" si="282">+BM49+BM50-BM59-BM60</f>
        <v>1257093.3380874612</v>
      </c>
      <c r="BN61" s="73">
        <f>+BN49+BN50-BN59-BN60</f>
        <v>1024102.940302156</v>
      </c>
      <c r="BO61" s="73">
        <f>+BO49+BO50-BO59-BO60</f>
        <v>593481.44398001081</v>
      </c>
      <c r="BP61" s="73">
        <f>+BP49+BP50-BP59-BP60</f>
        <v>180289.26502704245</v>
      </c>
      <c r="BQ61" s="73">
        <f>+BP61</f>
        <v>180289.26502704245</v>
      </c>
      <c r="BR61" s="8"/>
    </row>
    <row r="62" spans="3:70" hidden="1" outlineLevel="1" x14ac:dyDescent="0.2"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8"/>
    </row>
    <row r="63" spans="3:70" collapsed="1" x14ac:dyDescent="0.2">
      <c r="C63" s="2" t="s">
        <v>230</v>
      </c>
      <c r="D63" s="4"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BR63" s="8"/>
    </row>
    <row r="64" spans="3:70" x14ac:dyDescent="0.2">
      <c r="C64" s="1" t="s">
        <v>74</v>
      </c>
      <c r="D64" s="80">
        <v>0</v>
      </c>
      <c r="E64" s="80">
        <v>0</v>
      </c>
      <c r="F64" s="80">
        <f t="shared" ref="F64:O64" si="283">E$51*$D$78/360*30</f>
        <v>1350.78125</v>
      </c>
      <c r="G64" s="80">
        <f t="shared" si="283"/>
        <v>1350.78125</v>
      </c>
      <c r="H64" s="80">
        <f t="shared" si="283"/>
        <v>1564.0625</v>
      </c>
      <c r="I64" s="80">
        <f t="shared" si="283"/>
        <v>1706.25</v>
      </c>
      <c r="J64" s="80">
        <f t="shared" si="283"/>
        <v>1706.25</v>
      </c>
      <c r="K64" s="80">
        <f t="shared" si="283"/>
        <v>1706.25</v>
      </c>
      <c r="L64" s="80">
        <f t="shared" si="283"/>
        <v>1706.25</v>
      </c>
      <c r="M64" s="80">
        <f t="shared" si="283"/>
        <v>1706.25</v>
      </c>
      <c r="N64" s="80">
        <f t="shared" si="283"/>
        <v>1706.25</v>
      </c>
      <c r="O64" s="80">
        <f t="shared" si="283"/>
        <v>1706.25</v>
      </c>
      <c r="P64" s="80">
        <f t="shared" ref="P64:P69" si="284">+SUM(D64:O64)</f>
        <v>16209.375</v>
      </c>
      <c r="Q64" s="80"/>
      <c r="R64" s="80">
        <f>O$51*$D$78/360*30</f>
        <v>1706.25</v>
      </c>
      <c r="S64" s="80">
        <f t="shared" ref="S64:AC64" si="285">R$51*$D$78/360*30</f>
        <v>3412.5</v>
      </c>
      <c r="T64" s="80">
        <f t="shared" si="285"/>
        <v>3412.5</v>
      </c>
      <c r="U64" s="80">
        <f t="shared" si="285"/>
        <v>3412.5</v>
      </c>
      <c r="V64" s="80">
        <f t="shared" si="285"/>
        <v>3412.5</v>
      </c>
      <c r="W64" s="80">
        <f t="shared" si="285"/>
        <v>3412.5</v>
      </c>
      <c r="X64" s="80">
        <f t="shared" si="285"/>
        <v>3412.5</v>
      </c>
      <c r="Y64" s="80">
        <f t="shared" si="285"/>
        <v>3412.5</v>
      </c>
      <c r="Z64" s="80">
        <f t="shared" si="285"/>
        <v>3412.5</v>
      </c>
      <c r="AA64" s="80">
        <f t="shared" si="285"/>
        <v>3412.5</v>
      </c>
      <c r="AB64" s="80">
        <f t="shared" si="285"/>
        <v>3412.5</v>
      </c>
      <c r="AC64" s="80">
        <f t="shared" si="285"/>
        <v>3412.5</v>
      </c>
      <c r="AD64" s="4">
        <f>+SUM(R64:AC64)</f>
        <v>39243.75</v>
      </c>
      <c r="AE64" s="80">
        <f>AC$51*$D$78/360*30</f>
        <v>3412.5</v>
      </c>
      <c r="AF64" s="80">
        <f t="shared" ref="AF64:AP64" si="286">AE$51*$D$78/360*30</f>
        <v>4436.25</v>
      </c>
      <c r="AG64" s="80">
        <f t="shared" si="286"/>
        <v>4436.25</v>
      </c>
      <c r="AH64" s="80">
        <f t="shared" si="286"/>
        <v>4436.25</v>
      </c>
      <c r="AI64" s="80">
        <f t="shared" si="286"/>
        <v>4436.25</v>
      </c>
      <c r="AJ64" s="80">
        <f t="shared" si="286"/>
        <v>4436.25</v>
      </c>
      <c r="AK64" s="80">
        <f t="shared" si="286"/>
        <v>4436.25</v>
      </c>
      <c r="AL64" s="80">
        <f t="shared" si="286"/>
        <v>4436.25</v>
      </c>
      <c r="AM64" s="80">
        <f t="shared" si="286"/>
        <v>4436.25</v>
      </c>
      <c r="AN64" s="80">
        <f t="shared" si="286"/>
        <v>4436.25</v>
      </c>
      <c r="AO64" s="80">
        <f t="shared" si="286"/>
        <v>4436.25</v>
      </c>
      <c r="AP64" s="80">
        <f t="shared" si="286"/>
        <v>4436.25</v>
      </c>
      <c r="AQ64" s="4">
        <f>+SUM(AE64:AP64)</f>
        <v>52211.25</v>
      </c>
      <c r="AR64" s="80">
        <f>AP$51*$D$78/360*30</f>
        <v>4436.25</v>
      </c>
      <c r="AS64" s="80">
        <f t="shared" ref="AS64:BC64" si="287">AR$51*$D$78/360*30</f>
        <v>5772.8125</v>
      </c>
      <c r="AT64" s="80">
        <f t="shared" si="287"/>
        <v>5772.8125</v>
      </c>
      <c r="AU64" s="80">
        <f t="shared" si="287"/>
        <v>5772.8125</v>
      </c>
      <c r="AV64" s="80">
        <f t="shared" si="287"/>
        <v>5772.8125</v>
      </c>
      <c r="AW64" s="80">
        <f t="shared" si="287"/>
        <v>5772.8125</v>
      </c>
      <c r="AX64" s="80">
        <f t="shared" si="287"/>
        <v>5772.8125</v>
      </c>
      <c r="AY64" s="80">
        <f t="shared" si="287"/>
        <v>5772.8125</v>
      </c>
      <c r="AZ64" s="80">
        <f t="shared" si="287"/>
        <v>5772.8125</v>
      </c>
      <c r="BA64" s="80">
        <f t="shared" si="287"/>
        <v>5772.8125</v>
      </c>
      <c r="BB64" s="80">
        <f t="shared" si="287"/>
        <v>5772.8125</v>
      </c>
      <c r="BC64" s="80">
        <f t="shared" si="287"/>
        <v>5772.8125</v>
      </c>
      <c r="BD64" s="4">
        <f>+SUM(AR64:BC64)</f>
        <v>67937.1875</v>
      </c>
      <c r="BE64" s="80">
        <f>BC$51*$D$78/360*30</f>
        <v>5772.8125</v>
      </c>
      <c r="BF64" s="80">
        <f t="shared" ref="BF64:BP64" si="288">BE$51*$D$78/360*30</f>
        <v>7507.4999999999991</v>
      </c>
      <c r="BG64" s="80">
        <f t="shared" si="288"/>
        <v>7507.4999999999991</v>
      </c>
      <c r="BH64" s="80">
        <f t="shared" si="288"/>
        <v>7507.4999999999991</v>
      </c>
      <c r="BI64" s="80">
        <f t="shared" si="288"/>
        <v>7507.4999999999991</v>
      </c>
      <c r="BJ64" s="80">
        <f t="shared" si="288"/>
        <v>7507.4999999999991</v>
      </c>
      <c r="BK64" s="80">
        <f t="shared" si="288"/>
        <v>7507.4999999999991</v>
      </c>
      <c r="BL64" s="80">
        <f t="shared" si="288"/>
        <v>7507.4999999999991</v>
      </c>
      <c r="BM64" s="80">
        <f t="shared" si="288"/>
        <v>7507.4999999999991</v>
      </c>
      <c r="BN64" s="80">
        <f t="shared" si="288"/>
        <v>7507.4999999999991</v>
      </c>
      <c r="BO64" s="80">
        <f t="shared" si="288"/>
        <v>4879.875</v>
      </c>
      <c r="BP64" s="80">
        <f t="shared" si="288"/>
        <v>1707.9562500000002</v>
      </c>
      <c r="BQ64" s="4">
        <f>+SUM(BE64:BP64)</f>
        <v>79928.143750000003</v>
      </c>
      <c r="BR64" s="8"/>
    </row>
    <row r="65" spans="3:70" x14ac:dyDescent="0.2">
      <c r="C65" s="1" t="s">
        <v>75</v>
      </c>
      <c r="D65" s="80">
        <v>0</v>
      </c>
      <c r="E65" s="80">
        <v>0</v>
      </c>
      <c r="F65" s="80">
        <v>0</v>
      </c>
      <c r="G65" s="80">
        <f t="shared" ref="G65:O65" si="289">E$52*$D$78/360*60</f>
        <v>2315.6250000000005</v>
      </c>
      <c r="H65" s="80">
        <f t="shared" si="289"/>
        <v>2315.6250000000005</v>
      </c>
      <c r="I65" s="80">
        <f t="shared" si="289"/>
        <v>2681.2500000000005</v>
      </c>
      <c r="J65" s="80">
        <f t="shared" si="289"/>
        <v>2925.0000000000005</v>
      </c>
      <c r="K65" s="80">
        <f t="shared" si="289"/>
        <v>2925.0000000000005</v>
      </c>
      <c r="L65" s="80">
        <f t="shared" si="289"/>
        <v>2925.0000000000005</v>
      </c>
      <c r="M65" s="80">
        <f t="shared" si="289"/>
        <v>2925.0000000000005</v>
      </c>
      <c r="N65" s="80">
        <f t="shared" si="289"/>
        <v>2925.0000000000005</v>
      </c>
      <c r="O65" s="80">
        <f t="shared" si="289"/>
        <v>2925.0000000000005</v>
      </c>
      <c r="P65" s="80">
        <f t="shared" si="284"/>
        <v>24862.500000000004</v>
      </c>
      <c r="Q65" s="80"/>
      <c r="R65" s="80">
        <f>N$52*$D$78/360*60</f>
        <v>2925.0000000000005</v>
      </c>
      <c r="S65" s="80">
        <f>O$52*$D$78/360*60</f>
        <v>2925.0000000000005</v>
      </c>
      <c r="T65" s="80">
        <f t="shared" ref="T65:AC65" si="290">R$52*$D$78/360*60</f>
        <v>5850.0000000000009</v>
      </c>
      <c r="U65" s="80">
        <f t="shared" si="290"/>
        <v>5850.0000000000009</v>
      </c>
      <c r="V65" s="80">
        <f t="shared" si="290"/>
        <v>5850.0000000000009</v>
      </c>
      <c r="W65" s="80">
        <f t="shared" si="290"/>
        <v>5850.0000000000009</v>
      </c>
      <c r="X65" s="80">
        <f t="shared" si="290"/>
        <v>5850.0000000000009</v>
      </c>
      <c r="Y65" s="80">
        <f t="shared" si="290"/>
        <v>5850.0000000000009</v>
      </c>
      <c r="Z65" s="80">
        <f t="shared" si="290"/>
        <v>5850.0000000000009</v>
      </c>
      <c r="AA65" s="80">
        <f t="shared" si="290"/>
        <v>5850.0000000000009</v>
      </c>
      <c r="AB65" s="80">
        <f t="shared" si="290"/>
        <v>5850.0000000000009</v>
      </c>
      <c r="AC65" s="80">
        <f t="shared" si="290"/>
        <v>5850.0000000000009</v>
      </c>
      <c r="AD65" s="4">
        <f t="shared" ref="AD65:AD66" si="291">+SUM(R65:AC65)</f>
        <v>64350.000000000007</v>
      </c>
      <c r="AE65" s="80">
        <f>AB$52*$D$78/360*60</f>
        <v>5850.0000000000009</v>
      </c>
      <c r="AF65" s="80">
        <f>AC$52*$D$78/360*60</f>
        <v>5850.0000000000009</v>
      </c>
      <c r="AG65" s="80">
        <f t="shared" ref="AG65:AP65" si="292">AE$52*$D$78/360*60</f>
        <v>7605.0000000000009</v>
      </c>
      <c r="AH65" s="80">
        <f t="shared" si="292"/>
        <v>7605.0000000000009</v>
      </c>
      <c r="AI65" s="80">
        <f t="shared" si="292"/>
        <v>7605.0000000000009</v>
      </c>
      <c r="AJ65" s="80">
        <f t="shared" si="292"/>
        <v>7605.0000000000009</v>
      </c>
      <c r="AK65" s="80">
        <f t="shared" si="292"/>
        <v>7605.0000000000009</v>
      </c>
      <c r="AL65" s="80">
        <f t="shared" si="292"/>
        <v>7605.0000000000009</v>
      </c>
      <c r="AM65" s="80">
        <f t="shared" si="292"/>
        <v>7605.0000000000009</v>
      </c>
      <c r="AN65" s="80">
        <f t="shared" si="292"/>
        <v>7605.0000000000009</v>
      </c>
      <c r="AO65" s="80">
        <f t="shared" si="292"/>
        <v>7605.0000000000009</v>
      </c>
      <c r="AP65" s="80">
        <f t="shared" si="292"/>
        <v>7605.0000000000009</v>
      </c>
      <c r="AQ65" s="4">
        <f t="shared" ref="AQ65:AQ66" si="293">+SUM(AE65:AP65)</f>
        <v>87750.000000000015</v>
      </c>
      <c r="AR65" s="80">
        <f>AO$52*$D$78/360*60</f>
        <v>7605.0000000000009</v>
      </c>
      <c r="AS65" s="80">
        <f>AP$52*$D$78/360*60</f>
        <v>7605.0000000000009</v>
      </c>
      <c r="AT65" s="80">
        <f t="shared" ref="AT65:BC65" si="294">AR$52*$D$78/360*60</f>
        <v>9896.2500000000018</v>
      </c>
      <c r="AU65" s="80">
        <f t="shared" si="294"/>
        <v>9896.2500000000018</v>
      </c>
      <c r="AV65" s="80">
        <f t="shared" si="294"/>
        <v>9896.2500000000018</v>
      </c>
      <c r="AW65" s="80">
        <f t="shared" si="294"/>
        <v>9896.2500000000018</v>
      </c>
      <c r="AX65" s="80">
        <f t="shared" si="294"/>
        <v>9896.2500000000018</v>
      </c>
      <c r="AY65" s="80">
        <f t="shared" si="294"/>
        <v>9896.2500000000018</v>
      </c>
      <c r="AZ65" s="80">
        <f t="shared" si="294"/>
        <v>9896.2500000000018</v>
      </c>
      <c r="BA65" s="80">
        <f t="shared" si="294"/>
        <v>9896.2500000000018</v>
      </c>
      <c r="BB65" s="80">
        <f t="shared" si="294"/>
        <v>9896.2500000000018</v>
      </c>
      <c r="BC65" s="80">
        <f t="shared" si="294"/>
        <v>9896.2500000000018</v>
      </c>
      <c r="BD65" s="4">
        <f t="shared" ref="BD65:BD66" si="295">+SUM(AR65:BC65)</f>
        <v>114172.50000000001</v>
      </c>
      <c r="BE65" s="80">
        <f>BB$52*$D$78/360*60</f>
        <v>9896.2500000000018</v>
      </c>
      <c r="BF65" s="80">
        <f>BC$52*$D$78/360*60</f>
        <v>9896.2500000000018</v>
      </c>
      <c r="BG65" s="80">
        <f t="shared" ref="BG65:BP65" si="296">BE$52*$D$78/360*60</f>
        <v>12870.000000000002</v>
      </c>
      <c r="BH65" s="80">
        <f t="shared" si="296"/>
        <v>12870.000000000002</v>
      </c>
      <c r="BI65" s="80">
        <f t="shared" si="296"/>
        <v>12870.000000000002</v>
      </c>
      <c r="BJ65" s="80">
        <f t="shared" si="296"/>
        <v>12870.000000000002</v>
      </c>
      <c r="BK65" s="80">
        <f t="shared" si="296"/>
        <v>12870.000000000002</v>
      </c>
      <c r="BL65" s="80">
        <f t="shared" si="296"/>
        <v>12870.000000000002</v>
      </c>
      <c r="BM65" s="80">
        <f t="shared" si="296"/>
        <v>12870.000000000002</v>
      </c>
      <c r="BN65" s="80">
        <f t="shared" si="296"/>
        <v>12870.000000000002</v>
      </c>
      <c r="BO65" s="80">
        <f t="shared" si="296"/>
        <v>12870.000000000002</v>
      </c>
      <c r="BP65" s="80">
        <f t="shared" si="296"/>
        <v>8365.5</v>
      </c>
      <c r="BQ65" s="4">
        <f t="shared" ref="BQ65:BQ66" si="297">+SUM(BE65:BP65)</f>
        <v>143988.00000000003</v>
      </c>
      <c r="BR65" s="8"/>
    </row>
    <row r="66" spans="3:70" x14ac:dyDescent="0.2">
      <c r="C66" s="1" t="s">
        <v>76</v>
      </c>
      <c r="D66" s="80">
        <v>0</v>
      </c>
      <c r="E66" s="80">
        <v>0</v>
      </c>
      <c r="F66" s="80">
        <v>0</v>
      </c>
      <c r="G66" s="80">
        <v>0</v>
      </c>
      <c r="H66" s="80">
        <f t="shared" ref="H66:O66" si="298">E$53*$D$78/360*90</f>
        <v>4052.34375</v>
      </c>
      <c r="I66" s="80">
        <f t="shared" si="298"/>
        <v>4052.34375</v>
      </c>
      <c r="J66" s="80">
        <f t="shared" si="298"/>
        <v>4692.1875</v>
      </c>
      <c r="K66" s="80">
        <f t="shared" si="298"/>
        <v>5118.75</v>
      </c>
      <c r="L66" s="80">
        <f t="shared" si="298"/>
        <v>5118.75</v>
      </c>
      <c r="M66" s="80">
        <f t="shared" si="298"/>
        <v>5118.75</v>
      </c>
      <c r="N66" s="80">
        <f t="shared" si="298"/>
        <v>5118.75</v>
      </c>
      <c r="O66" s="80">
        <f t="shared" si="298"/>
        <v>5118.75</v>
      </c>
      <c r="P66" s="80">
        <f t="shared" si="284"/>
        <v>38390.625</v>
      </c>
      <c r="Q66" s="80"/>
      <c r="R66" s="80">
        <f>M$53*$D$78/360*90</f>
        <v>5118.75</v>
      </c>
      <c r="S66" s="80">
        <f>N$53*$D$78/360*90</f>
        <v>5118.75</v>
      </c>
      <c r="T66" s="80">
        <f>O$53*$D$78/360*90</f>
        <v>5118.75</v>
      </c>
      <c r="U66" s="80">
        <f t="shared" ref="U66:AC66" si="299">R$53*$D$78/360*90</f>
        <v>10237.5</v>
      </c>
      <c r="V66" s="80">
        <f t="shared" si="299"/>
        <v>10237.5</v>
      </c>
      <c r="W66" s="80">
        <f t="shared" si="299"/>
        <v>10237.5</v>
      </c>
      <c r="X66" s="80">
        <f t="shared" si="299"/>
        <v>10237.5</v>
      </c>
      <c r="Y66" s="80">
        <f t="shared" si="299"/>
        <v>10237.5</v>
      </c>
      <c r="Z66" s="80">
        <f t="shared" si="299"/>
        <v>10237.5</v>
      </c>
      <c r="AA66" s="80">
        <f t="shared" si="299"/>
        <v>10237.5</v>
      </c>
      <c r="AB66" s="80">
        <f t="shared" si="299"/>
        <v>10237.5</v>
      </c>
      <c r="AC66" s="80">
        <f t="shared" si="299"/>
        <v>10237.5</v>
      </c>
      <c r="AD66" s="4">
        <f t="shared" si="291"/>
        <v>107493.75</v>
      </c>
      <c r="AE66" s="80">
        <f>AA$53*$D$78/360*90</f>
        <v>10237.5</v>
      </c>
      <c r="AF66" s="80">
        <f>AB$53*$D$78/360*90</f>
        <v>10237.5</v>
      </c>
      <c r="AG66" s="80">
        <f>AC$53*$D$78/360*90</f>
        <v>10237.5</v>
      </c>
      <c r="AH66" s="80">
        <f t="shared" ref="AH66:AP66" si="300">AE$53*$D$78/360*90</f>
        <v>13308.75</v>
      </c>
      <c r="AI66" s="80">
        <f t="shared" si="300"/>
        <v>13308.75</v>
      </c>
      <c r="AJ66" s="80">
        <f t="shared" si="300"/>
        <v>13308.75</v>
      </c>
      <c r="AK66" s="80">
        <f t="shared" si="300"/>
        <v>13308.75</v>
      </c>
      <c r="AL66" s="80">
        <f t="shared" si="300"/>
        <v>13308.75</v>
      </c>
      <c r="AM66" s="80">
        <f t="shared" si="300"/>
        <v>13308.75</v>
      </c>
      <c r="AN66" s="80">
        <f t="shared" si="300"/>
        <v>13308.75</v>
      </c>
      <c r="AO66" s="80">
        <f t="shared" si="300"/>
        <v>13308.75</v>
      </c>
      <c r="AP66" s="80">
        <f t="shared" si="300"/>
        <v>13308.75</v>
      </c>
      <c r="AQ66" s="4">
        <f t="shared" si="293"/>
        <v>150491.25</v>
      </c>
      <c r="AR66" s="80">
        <f>AN$53*$D$78/360*90</f>
        <v>13308.75</v>
      </c>
      <c r="AS66" s="80">
        <f>AO$53*$D$78/360*90</f>
        <v>13308.75</v>
      </c>
      <c r="AT66" s="80">
        <f>AP$53*$D$78/360*90</f>
        <v>13308.75</v>
      </c>
      <c r="AU66" s="80">
        <f t="shared" ref="AU66:BC66" si="301">AR$53*$D$78/360*90</f>
        <v>17318.4375</v>
      </c>
      <c r="AV66" s="80">
        <f t="shared" si="301"/>
        <v>17318.4375</v>
      </c>
      <c r="AW66" s="80">
        <f t="shared" si="301"/>
        <v>17318.4375</v>
      </c>
      <c r="AX66" s="80">
        <f t="shared" si="301"/>
        <v>17318.4375</v>
      </c>
      <c r="AY66" s="80">
        <f t="shared" si="301"/>
        <v>17318.4375</v>
      </c>
      <c r="AZ66" s="80">
        <f t="shared" si="301"/>
        <v>17318.4375</v>
      </c>
      <c r="BA66" s="80">
        <f t="shared" si="301"/>
        <v>17318.4375</v>
      </c>
      <c r="BB66" s="80">
        <f t="shared" si="301"/>
        <v>17318.4375</v>
      </c>
      <c r="BC66" s="80">
        <f t="shared" si="301"/>
        <v>17318.4375</v>
      </c>
      <c r="BD66" s="4">
        <f t="shared" si="295"/>
        <v>195792.1875</v>
      </c>
      <c r="BE66" s="80">
        <f>BA$53*$D$78/360*90</f>
        <v>17318.4375</v>
      </c>
      <c r="BF66" s="80">
        <f>BB$53*$D$78/360*90</f>
        <v>17318.4375</v>
      </c>
      <c r="BG66" s="80">
        <f>BC$53*$D$78/360*90</f>
        <v>17318.4375</v>
      </c>
      <c r="BH66" s="80">
        <f t="shared" ref="BH66:BP66" si="302">BE$53*$D$78/360*90</f>
        <v>22522.499999999996</v>
      </c>
      <c r="BI66" s="80">
        <f t="shared" si="302"/>
        <v>22522.499999999996</v>
      </c>
      <c r="BJ66" s="80">
        <f t="shared" si="302"/>
        <v>22522.499999999996</v>
      </c>
      <c r="BK66" s="80">
        <f t="shared" si="302"/>
        <v>22522.499999999996</v>
      </c>
      <c r="BL66" s="80">
        <f t="shared" si="302"/>
        <v>22522.499999999996</v>
      </c>
      <c r="BM66" s="80">
        <f t="shared" si="302"/>
        <v>22522.499999999996</v>
      </c>
      <c r="BN66" s="80">
        <f t="shared" si="302"/>
        <v>22522.499999999996</v>
      </c>
      <c r="BO66" s="80">
        <f t="shared" si="302"/>
        <v>22522.499999999996</v>
      </c>
      <c r="BP66" s="80">
        <f t="shared" si="302"/>
        <v>22522.499999999996</v>
      </c>
      <c r="BQ66" s="4">
        <f t="shared" si="297"/>
        <v>254657.8125</v>
      </c>
      <c r="BR66" s="8"/>
    </row>
    <row r="67" spans="3:70" x14ac:dyDescent="0.2">
      <c r="C67" s="1" t="s">
        <v>237</v>
      </c>
      <c r="D67" s="80">
        <f>+D48*$D$79</f>
        <v>0</v>
      </c>
      <c r="E67" s="80">
        <f t="shared" ref="E67:O67" si="303">+E48*$D$79</f>
        <v>285</v>
      </c>
      <c r="F67" s="80">
        <f t="shared" si="303"/>
        <v>285</v>
      </c>
      <c r="G67" s="80">
        <f t="shared" si="303"/>
        <v>330</v>
      </c>
      <c r="H67" s="80">
        <f t="shared" si="303"/>
        <v>360</v>
      </c>
      <c r="I67" s="80">
        <f t="shared" si="303"/>
        <v>360</v>
      </c>
      <c r="J67" s="80">
        <f t="shared" si="303"/>
        <v>360</v>
      </c>
      <c r="K67" s="80">
        <f t="shared" si="303"/>
        <v>360</v>
      </c>
      <c r="L67" s="80">
        <f t="shared" si="303"/>
        <v>360</v>
      </c>
      <c r="M67" s="80">
        <f t="shared" si="303"/>
        <v>360</v>
      </c>
      <c r="N67" s="80">
        <f t="shared" si="303"/>
        <v>360</v>
      </c>
      <c r="O67" s="80">
        <f t="shared" si="303"/>
        <v>360</v>
      </c>
      <c r="P67" s="80">
        <f t="shared" si="284"/>
        <v>3780</v>
      </c>
      <c r="Q67" s="80"/>
      <c r="R67" s="80">
        <f>+R48*$D$79</f>
        <v>720</v>
      </c>
      <c r="S67" s="80">
        <f t="shared" ref="S67:AC67" si="304">+S48*$D$79</f>
        <v>720</v>
      </c>
      <c r="T67" s="80">
        <f t="shared" si="304"/>
        <v>720</v>
      </c>
      <c r="U67" s="80">
        <f t="shared" si="304"/>
        <v>720</v>
      </c>
      <c r="V67" s="80">
        <f t="shared" si="304"/>
        <v>720</v>
      </c>
      <c r="W67" s="80">
        <f t="shared" si="304"/>
        <v>720</v>
      </c>
      <c r="X67" s="80">
        <f t="shared" si="304"/>
        <v>720</v>
      </c>
      <c r="Y67" s="80">
        <f t="shared" si="304"/>
        <v>720</v>
      </c>
      <c r="Z67" s="80">
        <f t="shared" si="304"/>
        <v>720</v>
      </c>
      <c r="AA67" s="80">
        <f t="shared" si="304"/>
        <v>720</v>
      </c>
      <c r="AB67" s="80">
        <f t="shared" si="304"/>
        <v>720</v>
      </c>
      <c r="AC67" s="80">
        <f t="shared" si="304"/>
        <v>720</v>
      </c>
      <c r="AD67" s="80">
        <f>+SUM(R67:AC67)</f>
        <v>8640</v>
      </c>
      <c r="AE67" s="80">
        <f>+AE48*$D$79</f>
        <v>936</v>
      </c>
      <c r="AF67" s="80">
        <f t="shared" ref="AF67:AP67" si="305">+AF48*$D$79</f>
        <v>936</v>
      </c>
      <c r="AG67" s="80">
        <f t="shared" si="305"/>
        <v>936</v>
      </c>
      <c r="AH67" s="80">
        <f t="shared" si="305"/>
        <v>936</v>
      </c>
      <c r="AI67" s="80">
        <f t="shared" si="305"/>
        <v>936</v>
      </c>
      <c r="AJ67" s="80">
        <f t="shared" si="305"/>
        <v>936</v>
      </c>
      <c r="AK67" s="80">
        <f t="shared" si="305"/>
        <v>936</v>
      </c>
      <c r="AL67" s="80">
        <f t="shared" si="305"/>
        <v>936</v>
      </c>
      <c r="AM67" s="80">
        <f t="shared" si="305"/>
        <v>936</v>
      </c>
      <c r="AN67" s="80">
        <f t="shared" si="305"/>
        <v>936</v>
      </c>
      <c r="AO67" s="80">
        <f t="shared" si="305"/>
        <v>936</v>
      </c>
      <c r="AP67" s="80">
        <f t="shared" si="305"/>
        <v>936</v>
      </c>
      <c r="AQ67" s="80">
        <f>+SUM(AE67:AP67)</f>
        <v>11232</v>
      </c>
      <c r="AR67" s="80">
        <f>+AR48*$D$79</f>
        <v>1218</v>
      </c>
      <c r="AS67" s="80">
        <f t="shared" ref="AS67:BC67" si="306">+AS48*$D$79</f>
        <v>1218</v>
      </c>
      <c r="AT67" s="80">
        <f t="shared" si="306"/>
        <v>1218</v>
      </c>
      <c r="AU67" s="80">
        <f t="shared" si="306"/>
        <v>1218</v>
      </c>
      <c r="AV67" s="80">
        <f t="shared" si="306"/>
        <v>1218</v>
      </c>
      <c r="AW67" s="80">
        <f t="shared" si="306"/>
        <v>1218</v>
      </c>
      <c r="AX67" s="80">
        <f t="shared" si="306"/>
        <v>1218</v>
      </c>
      <c r="AY67" s="80">
        <f t="shared" si="306"/>
        <v>1218</v>
      </c>
      <c r="AZ67" s="80">
        <f t="shared" si="306"/>
        <v>1218</v>
      </c>
      <c r="BA67" s="80">
        <f t="shared" si="306"/>
        <v>1218</v>
      </c>
      <c r="BB67" s="80">
        <f t="shared" si="306"/>
        <v>1218</v>
      </c>
      <c r="BC67" s="80">
        <f t="shared" si="306"/>
        <v>1218</v>
      </c>
      <c r="BD67" s="80">
        <f>+SUM(AR67:BC67)</f>
        <v>14616</v>
      </c>
      <c r="BE67" s="80">
        <f>+BE48*$D$79</f>
        <v>1584</v>
      </c>
      <c r="BF67" s="80">
        <f t="shared" ref="BF67:BP67" si="307">+BF48*$D$79</f>
        <v>1584</v>
      </c>
      <c r="BG67" s="80">
        <f t="shared" si="307"/>
        <v>1584</v>
      </c>
      <c r="BH67" s="80">
        <f t="shared" si="307"/>
        <v>1584</v>
      </c>
      <c r="BI67" s="80">
        <f t="shared" si="307"/>
        <v>1584</v>
      </c>
      <c r="BJ67" s="80">
        <f t="shared" si="307"/>
        <v>1584</v>
      </c>
      <c r="BK67" s="80">
        <f t="shared" si="307"/>
        <v>1584</v>
      </c>
      <c r="BL67" s="80">
        <f t="shared" si="307"/>
        <v>1584</v>
      </c>
      <c r="BM67" s="80">
        <f t="shared" si="307"/>
        <v>1584</v>
      </c>
      <c r="BN67" s="80">
        <f t="shared" si="307"/>
        <v>1029.5999999999999</v>
      </c>
      <c r="BO67" s="80">
        <f t="shared" si="307"/>
        <v>360.35999999999996</v>
      </c>
      <c r="BP67" s="80">
        <f t="shared" si="307"/>
        <v>0</v>
      </c>
      <c r="BQ67" s="80">
        <f>+SUM(BE67:BP67)</f>
        <v>15645.960000000001</v>
      </c>
      <c r="BR67" s="8"/>
    </row>
    <row r="68" spans="3:70" x14ac:dyDescent="0.2">
      <c r="C68" s="2" t="s">
        <v>231</v>
      </c>
      <c r="D68" s="6">
        <f>+D64+D65+D66+D67</f>
        <v>0</v>
      </c>
      <c r="E68" s="6">
        <f>+E64+E65+E66+E67</f>
        <v>285</v>
      </c>
      <c r="F68" s="6">
        <f>+F64+F65+F66+F67</f>
        <v>1635.78125</v>
      </c>
      <c r="G68" s="6">
        <f t="shared" ref="F68:N68" si="308">+G64+G65+G66+G67</f>
        <v>3996.4062500000005</v>
      </c>
      <c r="H68" s="6">
        <f t="shared" si="308"/>
        <v>8292.03125</v>
      </c>
      <c r="I68" s="6">
        <f t="shared" si="308"/>
        <v>8799.84375</v>
      </c>
      <c r="J68" s="6">
        <f t="shared" si="308"/>
        <v>9683.4375</v>
      </c>
      <c r="K68" s="6">
        <f t="shared" si="308"/>
        <v>10110</v>
      </c>
      <c r="L68" s="6">
        <f t="shared" si="308"/>
        <v>10110</v>
      </c>
      <c r="M68" s="6">
        <f t="shared" si="308"/>
        <v>10110</v>
      </c>
      <c r="N68" s="6">
        <f t="shared" si="308"/>
        <v>10110</v>
      </c>
      <c r="O68" s="6">
        <f>+O64+O65+O66+O67</f>
        <v>10110</v>
      </c>
      <c r="P68" s="6">
        <f>+SUM(D68:O68)</f>
        <v>83242.5</v>
      </c>
      <c r="Q68" s="6"/>
      <c r="R68" s="6">
        <f>+R64+R65+R66+R67</f>
        <v>10470</v>
      </c>
      <c r="S68" s="6">
        <f t="shared" ref="S68" si="309">+S64+S65+S66+S67</f>
        <v>12176.25</v>
      </c>
      <c r="T68" s="6">
        <f t="shared" ref="T68" si="310">+T64+T65+T66+T67</f>
        <v>15101.25</v>
      </c>
      <c r="U68" s="6">
        <f t="shared" ref="U68" si="311">+U64+U65+U66+U67</f>
        <v>20220</v>
      </c>
      <c r="V68" s="6">
        <f t="shared" ref="V68" si="312">+V64+V65+V66+V67</f>
        <v>20220</v>
      </c>
      <c r="W68" s="6">
        <f t="shared" ref="W68" si="313">+W64+W65+W66+W67</f>
        <v>20220</v>
      </c>
      <c r="X68" s="6">
        <f t="shared" ref="X68" si="314">+X64+X65+X66+X67</f>
        <v>20220</v>
      </c>
      <c r="Y68" s="6">
        <f t="shared" ref="Y68" si="315">+Y64+Y65+Y66+Y67</f>
        <v>20220</v>
      </c>
      <c r="Z68" s="6">
        <f t="shared" ref="Z68" si="316">+Z64+Z65+Z66+Z67</f>
        <v>20220</v>
      </c>
      <c r="AA68" s="6">
        <f t="shared" ref="AA68" si="317">+AA64+AA65+AA66+AA67</f>
        <v>20220</v>
      </c>
      <c r="AB68" s="6">
        <f t="shared" ref="AB68" si="318">+AB64+AB65+AB66+AB67</f>
        <v>20220</v>
      </c>
      <c r="AC68" s="6">
        <f>+AC64+AC65+AC66+AC67</f>
        <v>20220</v>
      </c>
      <c r="AD68" s="6">
        <f>+SUM(R68:AC68)</f>
        <v>219727.5</v>
      </c>
      <c r="AE68" s="6">
        <f>+AE64+AE65+AE66+AE67</f>
        <v>20436</v>
      </c>
      <c r="AF68" s="6">
        <f t="shared" ref="AF68" si="319">+AF64+AF65+AF66+AF67</f>
        <v>21459.75</v>
      </c>
      <c r="AG68" s="6">
        <f t="shared" ref="AG68" si="320">+AG64+AG65+AG66+AG67</f>
        <v>23214.75</v>
      </c>
      <c r="AH68" s="6">
        <f t="shared" ref="AH68" si="321">+AH64+AH65+AH66+AH67</f>
        <v>26286</v>
      </c>
      <c r="AI68" s="6">
        <f t="shared" ref="AI68" si="322">+AI64+AI65+AI66+AI67</f>
        <v>26286</v>
      </c>
      <c r="AJ68" s="6">
        <f t="shared" ref="AJ68" si="323">+AJ64+AJ65+AJ66+AJ67</f>
        <v>26286</v>
      </c>
      <c r="AK68" s="6">
        <f t="shared" ref="AK68" si="324">+AK64+AK65+AK66+AK67</f>
        <v>26286</v>
      </c>
      <c r="AL68" s="6">
        <f t="shared" ref="AL68" si="325">+AL64+AL65+AL66+AL67</f>
        <v>26286</v>
      </c>
      <c r="AM68" s="6">
        <f t="shared" ref="AM68" si="326">+AM64+AM65+AM66+AM67</f>
        <v>26286</v>
      </c>
      <c r="AN68" s="6">
        <f t="shared" ref="AN68" si="327">+AN64+AN65+AN66+AN67</f>
        <v>26286</v>
      </c>
      <c r="AO68" s="6">
        <f t="shared" ref="AO68" si="328">+AO64+AO65+AO66+AO67</f>
        <v>26286</v>
      </c>
      <c r="AP68" s="6">
        <f t="shared" ref="AP68" si="329">+AP64+AP65+AP66+AP67</f>
        <v>26286</v>
      </c>
      <c r="AQ68" s="6">
        <f>+SUM(AE68:AP68)</f>
        <v>301684.5</v>
      </c>
      <c r="AR68" s="6">
        <f>+AR64+AR65+AR66+AR67</f>
        <v>26568</v>
      </c>
      <c r="AS68" s="6">
        <f t="shared" ref="AS68" si="330">+AS64+AS65+AS66+AS67</f>
        <v>27904.5625</v>
      </c>
      <c r="AT68" s="6">
        <f t="shared" ref="AT68" si="331">+AT64+AT65+AT66+AT67</f>
        <v>30195.8125</v>
      </c>
      <c r="AU68" s="6">
        <f t="shared" ref="AU68" si="332">+AU64+AU65+AU66+AU67</f>
        <v>34205.5</v>
      </c>
      <c r="AV68" s="6">
        <f t="shared" ref="AV68" si="333">+AV64+AV65+AV66+AV67</f>
        <v>34205.5</v>
      </c>
      <c r="AW68" s="6">
        <f t="shared" ref="AW68" si="334">+AW64+AW65+AW66+AW67</f>
        <v>34205.5</v>
      </c>
      <c r="AX68" s="6">
        <f t="shared" ref="AX68" si="335">+AX64+AX65+AX66+AX67</f>
        <v>34205.5</v>
      </c>
      <c r="AY68" s="6">
        <f t="shared" ref="AY68" si="336">+AY64+AY65+AY66+AY67</f>
        <v>34205.5</v>
      </c>
      <c r="AZ68" s="6">
        <f t="shared" ref="AZ68" si="337">+AZ64+AZ65+AZ66+AZ67</f>
        <v>34205.5</v>
      </c>
      <c r="BA68" s="6">
        <f t="shared" ref="BA68" si="338">+BA64+BA65+BA66+BA67</f>
        <v>34205.5</v>
      </c>
      <c r="BB68" s="6">
        <f t="shared" ref="BB68" si="339">+BB64+BB65+BB66+BB67</f>
        <v>34205.5</v>
      </c>
      <c r="BC68" s="6">
        <f t="shared" ref="BC68" si="340">+BC64+BC65+BC66+BC67</f>
        <v>34205.5</v>
      </c>
      <c r="BD68" s="6">
        <f>+SUM(AR68:BC68)</f>
        <v>392517.875</v>
      </c>
      <c r="BE68" s="6">
        <f>+BE64+BE65+BE66+BE67</f>
        <v>34571.5</v>
      </c>
      <c r="BF68" s="6">
        <f t="shared" ref="BF68" si="341">+BF64+BF65+BF66+BF67</f>
        <v>36306.1875</v>
      </c>
      <c r="BG68" s="6">
        <f t="shared" ref="BG68" si="342">+BG64+BG65+BG66+BG67</f>
        <v>39279.9375</v>
      </c>
      <c r="BH68" s="6">
        <f t="shared" ref="BH68" si="343">+BH64+BH65+BH66+BH67</f>
        <v>44484</v>
      </c>
      <c r="BI68" s="6">
        <f t="shared" ref="BI68" si="344">+BI64+BI65+BI66+BI67</f>
        <v>44484</v>
      </c>
      <c r="BJ68" s="6">
        <f t="shared" ref="BJ68" si="345">+BJ64+BJ65+BJ66+BJ67</f>
        <v>44484</v>
      </c>
      <c r="BK68" s="6">
        <f t="shared" ref="BK68" si="346">+BK64+BK65+BK66+BK67</f>
        <v>44484</v>
      </c>
      <c r="BL68" s="6">
        <f t="shared" ref="BL68" si="347">+BL64+BL65+BL66+BL67</f>
        <v>44484</v>
      </c>
      <c r="BM68" s="6">
        <f t="shared" ref="BM68" si="348">+BM64+BM65+BM66+BM67</f>
        <v>44484</v>
      </c>
      <c r="BN68" s="6">
        <f t="shared" ref="BN68" si="349">+BN64+BN65+BN66+BN67</f>
        <v>43929.599999999999</v>
      </c>
      <c r="BO68" s="6">
        <f t="shared" ref="BO68" si="350">+BO64+BO65+BO66+BO67</f>
        <v>40632.735000000001</v>
      </c>
      <c r="BP68" s="6">
        <f t="shared" ref="BP68" si="351">+BP64+BP65+BP66+BP67</f>
        <v>32595.956249999996</v>
      </c>
      <c r="BQ68" s="6">
        <f>+SUM(BE68:BP68)</f>
        <v>494219.91624999995</v>
      </c>
      <c r="BR68" s="8"/>
    </row>
    <row r="69" spans="3:70" hidden="1" outlineLevel="1" x14ac:dyDescent="0.2">
      <c r="C69" s="2" t="s">
        <v>232</v>
      </c>
      <c r="D69" s="6">
        <f>+D68</f>
        <v>0</v>
      </c>
      <c r="E69" s="6">
        <f t="shared" ref="E69" si="352">+E68</f>
        <v>285</v>
      </c>
      <c r="F69" s="6">
        <f t="shared" ref="F69:O69" si="353">E$61*$D$78/360*30</f>
        <v>3859.3750000000005</v>
      </c>
      <c r="G69" s="6">
        <f t="shared" si="353"/>
        <v>6361.858072916667</v>
      </c>
      <c r="H69" s="6">
        <f t="shared" si="353"/>
        <v>8311.9413809678808</v>
      </c>
      <c r="I69" s="6">
        <f t="shared" si="353"/>
        <v>9101.1245571146828</v>
      </c>
      <c r="J69" s="6">
        <f t="shared" si="353"/>
        <v>9578.468307114681</v>
      </c>
      <c r="K69" s="6">
        <f t="shared" si="353"/>
        <v>9705.4898989617504</v>
      </c>
      <c r="L69" s="6">
        <f t="shared" si="353"/>
        <v>9690.1228732883956</v>
      </c>
      <c r="M69" s="6">
        <f t="shared" si="353"/>
        <v>9674.7801787390217</v>
      </c>
      <c r="N69" s="6">
        <f t="shared" si="353"/>
        <v>9659.4617767893542</v>
      </c>
      <c r="O69" s="6">
        <f t="shared" si="353"/>
        <v>9644.1676289761035</v>
      </c>
      <c r="P69" s="6">
        <f t="shared" si="284"/>
        <v>85871.789674868545</v>
      </c>
      <c r="Q69" s="6"/>
      <c r="R69" s="6">
        <f>O$61*$D$78/360*30</f>
        <v>9628.8976968968909</v>
      </c>
      <c r="S69" s="6">
        <f t="shared" ref="S69:AC69" si="354">R$61*$D$78/360*30</f>
        <v>14503.897696896889</v>
      </c>
      <c r="T69" s="6">
        <f t="shared" si="354"/>
        <v>17649.683192210137</v>
      </c>
      <c r="U69" s="6">
        <f t="shared" si="354"/>
        <v>19327.987860489138</v>
      </c>
      <c r="V69" s="6">
        <f t="shared" si="354"/>
        <v>19297.385213043362</v>
      </c>
      <c r="W69" s="6">
        <f t="shared" si="354"/>
        <v>19266.831019789377</v>
      </c>
      <c r="X69" s="6">
        <f t="shared" si="354"/>
        <v>19236.325204008044</v>
      </c>
      <c r="Y69" s="6">
        <f t="shared" si="354"/>
        <v>19205.867689101698</v>
      </c>
      <c r="Z69" s="6">
        <f t="shared" si="354"/>
        <v>19175.458398593953</v>
      </c>
      <c r="AA69" s="6">
        <f t="shared" si="354"/>
        <v>19145.097256129513</v>
      </c>
      <c r="AB69" s="6">
        <f t="shared" si="354"/>
        <v>19114.784185473975</v>
      </c>
      <c r="AC69" s="6">
        <f t="shared" si="354"/>
        <v>19084.51911051364</v>
      </c>
      <c r="AD69" s="4">
        <f>+SUM(R69:AC69)</f>
        <v>214636.73452314665</v>
      </c>
      <c r="AE69" s="6">
        <f>AB$61*$D$78/360*30</f>
        <v>19084.51911051364</v>
      </c>
      <c r="AF69" s="6">
        <f t="shared" ref="AF69:AP69" si="355">AE$61*$D$78/360*30</f>
        <v>21949.132643826175</v>
      </c>
      <c r="AG69" s="6">
        <f t="shared" si="355"/>
        <v>23815.629850473455</v>
      </c>
      <c r="AH69" s="6">
        <f t="shared" si="355"/>
        <v>24801.67176987687</v>
      </c>
      <c r="AI69" s="6">
        <f t="shared" si="355"/>
        <v>24762.402456241238</v>
      </c>
      <c r="AJ69" s="6">
        <f t="shared" si="355"/>
        <v>24723.195319018858</v>
      </c>
      <c r="AK69" s="6">
        <f t="shared" si="355"/>
        <v>24684.050259763742</v>
      </c>
      <c r="AL69" s="6">
        <f t="shared" si="355"/>
        <v>24644.967180185791</v>
      </c>
      <c r="AM69" s="6">
        <f t="shared" si="355"/>
        <v>24605.945982150497</v>
      </c>
      <c r="AN69" s="6">
        <f t="shared" si="355"/>
        <v>24566.986567678756</v>
      </c>
      <c r="AO69" s="6">
        <f t="shared" si="355"/>
        <v>24528.088838946591</v>
      </c>
      <c r="AP69" s="6">
        <f t="shared" si="355"/>
        <v>24489.252698284927</v>
      </c>
      <c r="AQ69" s="4">
        <f>+SUM(AE69:AP69)</f>
        <v>286655.84267696057</v>
      </c>
      <c r="AR69" s="6">
        <f>AO$61*$D$78/360*30</f>
        <v>24489.252698284927</v>
      </c>
      <c r="AS69" s="6">
        <f t="shared" ref="AS69:BC69" si="356">AR$61*$D$78/360*30</f>
        <v>28230.514791269685</v>
      </c>
      <c r="AT69" s="6">
        <f t="shared" si="356"/>
        <v>30668.003976183507</v>
      </c>
      <c r="AU69" s="6">
        <f t="shared" si="356"/>
        <v>31956.008803221222</v>
      </c>
      <c r="AV69" s="6">
        <f t="shared" si="356"/>
        <v>31905.411789282785</v>
      </c>
      <c r="AW69" s="6">
        <f t="shared" si="356"/>
        <v>31854.894887283092</v>
      </c>
      <c r="AX69" s="6">
        <f t="shared" si="356"/>
        <v>31804.457970378226</v>
      </c>
      <c r="AY69" s="6">
        <f t="shared" si="356"/>
        <v>31754.100911925132</v>
      </c>
      <c r="AZ69" s="6">
        <f t="shared" si="356"/>
        <v>31703.823585481252</v>
      </c>
      <c r="BA69" s="6">
        <f t="shared" si="356"/>
        <v>31653.625864804239</v>
      </c>
      <c r="BB69" s="6">
        <f t="shared" si="356"/>
        <v>31603.507623851641</v>
      </c>
      <c r="BC69" s="6">
        <f t="shared" si="356"/>
        <v>31553.468736780535</v>
      </c>
      <c r="BD69" s="4">
        <f>+SUM(AR69:BC69)</f>
        <v>369177.07163874625</v>
      </c>
      <c r="BE69" s="6">
        <f>BB$61*$D$78/360*30</f>
        <v>31553.468736780535</v>
      </c>
      <c r="BF69" s="6">
        <f t="shared" ref="BF69:BO69" si="357">BE$61*$D$78/360*30</f>
        <v>36409.878521907216</v>
      </c>
      <c r="BG69" s="6">
        <f t="shared" si="357"/>
        <v>39573.792047580871</v>
      </c>
      <c r="BH69" s="6">
        <f t="shared" si="357"/>
        <v>41245.821043505537</v>
      </c>
      <c r="BI69" s="6">
        <f t="shared" si="357"/>
        <v>41180.515160186653</v>
      </c>
      <c r="BJ69" s="6">
        <f t="shared" si="357"/>
        <v>41115.312677849695</v>
      </c>
      <c r="BK69" s="6">
        <f t="shared" si="357"/>
        <v>41050.213432776436</v>
      </c>
      <c r="BL69" s="6">
        <f t="shared" si="357"/>
        <v>40985.217261507882</v>
      </c>
      <c r="BM69" s="6">
        <f t="shared" si="357"/>
        <v>40920.324000843822</v>
      </c>
      <c r="BN69" s="6">
        <f t="shared" si="357"/>
        <v>40855.533487842491</v>
      </c>
      <c r="BO69" s="6">
        <f t="shared" si="357"/>
        <v>33283.345559820074</v>
      </c>
      <c r="BP69" s="6"/>
      <c r="BQ69" s="4">
        <f>+SUM(BE69:BP69)</f>
        <v>428173.42193060118</v>
      </c>
      <c r="BR69" s="8"/>
    </row>
    <row r="70" spans="3:70" collapsed="1" x14ac:dyDescent="0.2">
      <c r="C70" s="2"/>
      <c r="D70" s="6"/>
      <c r="E70" s="6"/>
      <c r="F70" s="4"/>
      <c r="G70" s="4"/>
      <c r="H70" s="4"/>
      <c r="I70" s="4"/>
      <c r="J70" s="4"/>
      <c r="K70" s="4"/>
      <c r="L70" s="4"/>
      <c r="M70" s="4"/>
      <c r="N70" s="4"/>
      <c r="O70" s="4"/>
      <c r="BR70" s="8"/>
    </row>
    <row r="71" spans="3:70" x14ac:dyDescent="0.2">
      <c r="C71" s="2" t="s">
        <v>173</v>
      </c>
      <c r="D71" s="79">
        <v>0</v>
      </c>
      <c r="E71" s="79">
        <f t="shared" ref="E71:O71" si="358">E$61*$D$82/360*30</f>
        <v>989.58333333333348</v>
      </c>
      <c r="F71" s="79">
        <f>F$61*$D$82/360*30</f>
        <v>1631.2456597222222</v>
      </c>
      <c r="G71" s="79">
        <f t="shared" si="358"/>
        <v>2131.2670207609954</v>
      </c>
      <c r="H71" s="79">
        <f t="shared" si="358"/>
        <v>2333.621681311457</v>
      </c>
      <c r="I71" s="79">
        <f t="shared" si="358"/>
        <v>2456.0175146447905</v>
      </c>
      <c r="J71" s="79">
        <f t="shared" si="358"/>
        <v>2488.5871535799361</v>
      </c>
      <c r="K71" s="79">
        <f t="shared" si="358"/>
        <v>2484.6468905867682</v>
      </c>
      <c r="L71" s="79">
        <f t="shared" si="358"/>
        <v>2480.7128663433391</v>
      </c>
      <c r="M71" s="79">
        <f t="shared" si="358"/>
        <v>2476.785070971629</v>
      </c>
      <c r="N71" s="79">
        <f t="shared" si="358"/>
        <v>2472.863494609257</v>
      </c>
      <c r="O71" s="79">
        <f t="shared" si="358"/>
        <v>2468.9481274094596</v>
      </c>
      <c r="P71" s="6">
        <f>+SUM(D71:O71)</f>
        <v>24414.278813273188</v>
      </c>
      <c r="Q71" s="6"/>
      <c r="R71" s="6">
        <f t="shared" ref="R71:AC71" si="359">R$61*$D$82/360*30</f>
        <v>3718.9481274094592</v>
      </c>
      <c r="S71" s="6">
        <f t="shared" si="359"/>
        <v>4525.5597928743937</v>
      </c>
      <c r="T71" s="6">
        <f t="shared" si="359"/>
        <v>4955.894323202343</v>
      </c>
      <c r="U71" s="6">
        <f t="shared" si="359"/>
        <v>4948.0474905239389</v>
      </c>
      <c r="V71" s="6">
        <f t="shared" si="359"/>
        <v>4940.2130819972754</v>
      </c>
      <c r="W71" s="6">
        <f t="shared" si="359"/>
        <v>4932.3910779507805</v>
      </c>
      <c r="X71" s="6">
        <f t="shared" si="359"/>
        <v>4924.5814587440254</v>
      </c>
      <c r="Y71" s="6">
        <f t="shared" si="359"/>
        <v>4916.7842047676804</v>
      </c>
      <c r="Z71" s="6">
        <f t="shared" si="359"/>
        <v>4908.9992964434641</v>
      </c>
      <c r="AA71" s="6">
        <f t="shared" si="359"/>
        <v>4901.2267142240962</v>
      </c>
      <c r="AB71" s="6">
        <f t="shared" si="359"/>
        <v>4893.466438593241</v>
      </c>
      <c r="AC71" s="6">
        <f t="shared" si="359"/>
        <v>4885.7184500654694</v>
      </c>
      <c r="AD71" s="4">
        <f>+SUM(R71:AC71)</f>
        <v>57451.830456796168</v>
      </c>
      <c r="AE71" s="6">
        <f t="shared" ref="AE71:AP71" si="360">AE$61*$D$82/360*30</f>
        <v>5627.9827291861984</v>
      </c>
      <c r="AF71" s="6">
        <f t="shared" si="360"/>
        <v>6106.5717565316545</v>
      </c>
      <c r="AG71" s="6">
        <f t="shared" si="360"/>
        <v>6359.4030179171477</v>
      </c>
      <c r="AH71" s="6">
        <f t="shared" si="360"/>
        <v>6349.3339631387789</v>
      </c>
      <c r="AI71" s="6">
        <f t="shared" si="360"/>
        <v>6339.2808510304758</v>
      </c>
      <c r="AJ71" s="6">
        <f t="shared" si="360"/>
        <v>6329.2436563496776</v>
      </c>
      <c r="AK71" s="6">
        <f t="shared" si="360"/>
        <v>6319.2223538937915</v>
      </c>
      <c r="AL71" s="6">
        <f t="shared" si="360"/>
        <v>6309.2169185001267</v>
      </c>
      <c r="AM71" s="6">
        <f t="shared" si="360"/>
        <v>6299.2273250458347</v>
      </c>
      <c r="AN71" s="6">
        <f t="shared" si="360"/>
        <v>6289.2535484478449</v>
      </c>
      <c r="AO71" s="6">
        <f t="shared" si="360"/>
        <v>6279.2955636628012</v>
      </c>
      <c r="AP71" s="6">
        <f t="shared" si="360"/>
        <v>6269.3533456870018</v>
      </c>
      <c r="AQ71" s="4">
        <f>+SUM(AE71:AP71)</f>
        <v>74877.385029391327</v>
      </c>
      <c r="AR71" s="6">
        <f t="shared" ref="AR71:BC71" si="361">AR$61*$D$82/360*30</f>
        <v>7238.5935362229957</v>
      </c>
      <c r="AS71" s="6">
        <f t="shared" si="361"/>
        <v>7863.5907631239761</v>
      </c>
      <c r="AT71" s="6">
        <f t="shared" si="361"/>
        <v>8193.8484110823629</v>
      </c>
      <c r="AU71" s="6">
        <f t="shared" si="361"/>
        <v>8180.8748177648176</v>
      </c>
      <c r="AV71" s="6">
        <f t="shared" si="361"/>
        <v>8167.9217659700234</v>
      </c>
      <c r="AW71" s="6">
        <f t="shared" si="361"/>
        <v>8154.989223173905</v>
      </c>
      <c r="AX71" s="6">
        <f t="shared" si="361"/>
        <v>8142.0771569038807</v>
      </c>
      <c r="AY71" s="6">
        <f t="shared" si="361"/>
        <v>8129.1855347387827</v>
      </c>
      <c r="AZ71" s="6">
        <f t="shared" si="361"/>
        <v>8116.3143243087798</v>
      </c>
      <c r="BA71" s="6">
        <f t="shared" si="361"/>
        <v>8103.4634932952913</v>
      </c>
      <c r="BB71" s="6">
        <f t="shared" si="361"/>
        <v>8090.6330094309069</v>
      </c>
      <c r="BC71" s="6">
        <f t="shared" si="361"/>
        <v>8077.8228404993079</v>
      </c>
      <c r="BD71" s="4">
        <f>+SUM(AR71:BC71)</f>
        <v>96459.31487651504</v>
      </c>
      <c r="BE71" s="6">
        <f t="shared" ref="BE71:BP71" si="362">BE$61*$D$82/360*30</f>
        <v>9335.8662876685175</v>
      </c>
      <c r="BF71" s="6">
        <f t="shared" si="362"/>
        <v>10147.126166046377</v>
      </c>
      <c r="BG71" s="6">
        <f t="shared" si="362"/>
        <v>10575.851549616804</v>
      </c>
      <c r="BH71" s="6">
        <f t="shared" si="362"/>
        <v>10559.106451329912</v>
      </c>
      <c r="BI71" s="6">
        <f t="shared" si="362"/>
        <v>10542.387866115307</v>
      </c>
      <c r="BJ71" s="6">
        <f t="shared" si="362"/>
        <v>10525.695751993959</v>
      </c>
      <c r="BK71" s="6">
        <f t="shared" si="362"/>
        <v>10509.030067053302</v>
      </c>
      <c r="BL71" s="6">
        <f t="shared" si="362"/>
        <v>10492.390769447135</v>
      </c>
      <c r="BM71" s="6">
        <f t="shared" si="362"/>
        <v>10475.777817395512</v>
      </c>
      <c r="BN71" s="6">
        <f t="shared" si="362"/>
        <v>8534.1911691846344</v>
      </c>
      <c r="BO71" s="6">
        <f t="shared" si="362"/>
        <v>4945.6786998334228</v>
      </c>
      <c r="BP71" s="6">
        <f t="shared" si="362"/>
        <v>1502.4105418920203</v>
      </c>
      <c r="BQ71" s="4">
        <f>+SUM(BE71:BP71)</f>
        <v>108145.5131375769</v>
      </c>
      <c r="BR71" s="8"/>
    </row>
    <row r="72" spans="3:70" x14ac:dyDescent="0.2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8"/>
    </row>
    <row r="73" spans="3:70" hidden="1" outlineLevel="1" x14ac:dyDescent="0.2">
      <c r="C73" s="77" t="s">
        <v>174</v>
      </c>
      <c r="D73" s="75">
        <f>+D68-D71</f>
        <v>0</v>
      </c>
      <c r="E73" s="75">
        <f>+E68-E71</f>
        <v>-704.58333333333348</v>
      </c>
      <c r="F73" s="75">
        <f t="shared" ref="E73:O73" si="363">+F68-F71</f>
        <v>4.5355902777778283</v>
      </c>
      <c r="G73" s="75">
        <f t="shared" si="363"/>
        <v>1865.1392292390051</v>
      </c>
      <c r="H73" s="75">
        <f t="shared" si="363"/>
        <v>5958.409568688543</v>
      </c>
      <c r="I73" s="75">
        <f t="shared" si="363"/>
        <v>6343.8262353552091</v>
      </c>
      <c r="J73" s="75">
        <f t="shared" si="363"/>
        <v>7194.8503464200639</v>
      </c>
      <c r="K73" s="75">
        <f t="shared" si="363"/>
        <v>7625.3531094132322</v>
      </c>
      <c r="L73" s="75">
        <f t="shared" si="363"/>
        <v>7629.2871336566604</v>
      </c>
      <c r="M73" s="75">
        <f t="shared" si="363"/>
        <v>7633.2149290283705</v>
      </c>
      <c r="N73" s="75">
        <f t="shared" si="363"/>
        <v>7637.136505390743</v>
      </c>
      <c r="O73" s="75">
        <f t="shared" si="363"/>
        <v>7641.0518725905404</v>
      </c>
      <c r="P73" s="75">
        <f>+SUM(D73:O73)</f>
        <v>58828.221186726812</v>
      </c>
      <c r="Q73" s="4"/>
      <c r="R73" s="75">
        <f>+R69-R71</f>
        <v>5909.9495694874313</v>
      </c>
      <c r="S73" s="75">
        <f>+S69-S71</f>
        <v>9978.3379040224954</v>
      </c>
      <c r="T73" s="75">
        <f t="shared" ref="T73:AC73" si="364">+T69-T71</f>
        <v>12693.788869007794</v>
      </c>
      <c r="U73" s="75">
        <f t="shared" si="364"/>
        <v>14379.940369965199</v>
      </c>
      <c r="V73" s="75">
        <f t="shared" si="364"/>
        <v>14357.172131046087</v>
      </c>
      <c r="W73" s="75">
        <f t="shared" si="364"/>
        <v>14334.439941838596</v>
      </c>
      <c r="X73" s="75">
        <f t="shared" si="364"/>
        <v>14311.743745264019</v>
      </c>
      <c r="Y73" s="75">
        <f t="shared" si="364"/>
        <v>14289.083484334018</v>
      </c>
      <c r="Z73" s="75">
        <f t="shared" si="364"/>
        <v>14266.459102150489</v>
      </c>
      <c r="AA73" s="75">
        <f t="shared" si="364"/>
        <v>14243.870541905417</v>
      </c>
      <c r="AB73" s="75">
        <f t="shared" si="364"/>
        <v>14221.317746880733</v>
      </c>
      <c r="AC73" s="75">
        <f t="shared" si="364"/>
        <v>14198.800660448171</v>
      </c>
      <c r="AD73" s="75">
        <f>+SUM(R73:AC73)</f>
        <v>157184.90406635046</v>
      </c>
      <c r="AE73" s="75">
        <f>+AE69-AE71</f>
        <v>13456.536381327442</v>
      </c>
      <c r="AF73" s="75">
        <f>+AF69-AF71</f>
        <v>15842.560887294519</v>
      </c>
      <c r="AG73" s="75">
        <f t="shared" ref="AG73:AP73" si="365">+AG69-AG71</f>
        <v>17456.226832556305</v>
      </c>
      <c r="AH73" s="75">
        <f t="shared" si="365"/>
        <v>18452.337806738091</v>
      </c>
      <c r="AI73" s="75">
        <f t="shared" si="365"/>
        <v>18423.121605210763</v>
      </c>
      <c r="AJ73" s="75">
        <f t="shared" si="365"/>
        <v>18393.95166266918</v>
      </c>
      <c r="AK73" s="75">
        <f t="shared" si="365"/>
        <v>18364.827905869952</v>
      </c>
      <c r="AL73" s="75">
        <f t="shared" si="365"/>
        <v>18335.750261685665</v>
      </c>
      <c r="AM73" s="75">
        <f t="shared" si="365"/>
        <v>18306.718657104662</v>
      </c>
      <c r="AN73" s="75">
        <f t="shared" si="365"/>
        <v>18277.733019230909</v>
      </c>
      <c r="AO73" s="75">
        <f t="shared" si="365"/>
        <v>18248.793275283788</v>
      </c>
      <c r="AP73" s="75">
        <f t="shared" si="365"/>
        <v>18219.899352597924</v>
      </c>
      <c r="AQ73" s="75">
        <f>+SUM(AE73:AP73)</f>
        <v>211778.45764756922</v>
      </c>
      <c r="AR73" s="75">
        <f>+AR69-AR71</f>
        <v>17250.659162061929</v>
      </c>
      <c r="AS73" s="75">
        <f>+AS69-AS71</f>
        <v>20366.92402814571</v>
      </c>
      <c r="AT73" s="75">
        <f t="shared" ref="AT73:BC73" si="366">+AT69-AT71</f>
        <v>22474.155565101144</v>
      </c>
      <c r="AU73" s="75">
        <f t="shared" si="366"/>
        <v>23775.133985456407</v>
      </c>
      <c r="AV73" s="75">
        <f t="shared" si="366"/>
        <v>23737.490023312763</v>
      </c>
      <c r="AW73" s="75">
        <f t="shared" si="366"/>
        <v>23699.905664109188</v>
      </c>
      <c r="AX73" s="75">
        <f t="shared" si="366"/>
        <v>23662.380813474345</v>
      </c>
      <c r="AY73" s="75">
        <f t="shared" si="366"/>
        <v>23624.915377186349</v>
      </c>
      <c r="AZ73" s="75">
        <f t="shared" si="366"/>
        <v>23587.509261172472</v>
      </c>
      <c r="BA73" s="75">
        <f t="shared" si="366"/>
        <v>23550.162371508948</v>
      </c>
      <c r="BB73" s="75">
        <f t="shared" si="366"/>
        <v>23512.874614420733</v>
      </c>
      <c r="BC73" s="75">
        <f t="shared" si="366"/>
        <v>23475.645896281225</v>
      </c>
      <c r="BD73" s="75">
        <f>+SUM(AR73:BC73)</f>
        <v>272717.75676223118</v>
      </c>
      <c r="BE73" s="75">
        <f>+BE69-BE71</f>
        <v>22217.602449112019</v>
      </c>
      <c r="BF73" s="75">
        <f>+BF69-BF71</f>
        <v>26262.752355860837</v>
      </c>
      <c r="BG73" s="75">
        <f t="shared" ref="BG73:BP73" si="367">+BG69-BG71</f>
        <v>28997.940497964068</v>
      </c>
      <c r="BH73" s="75">
        <f t="shared" si="367"/>
        <v>30686.714592175624</v>
      </c>
      <c r="BI73" s="75">
        <f t="shared" si="367"/>
        <v>30638.127294071346</v>
      </c>
      <c r="BJ73" s="75">
        <f t="shared" si="367"/>
        <v>30589.616925855735</v>
      </c>
      <c r="BK73" s="75">
        <f t="shared" si="367"/>
        <v>30541.183365723133</v>
      </c>
      <c r="BL73" s="75">
        <f t="shared" si="367"/>
        <v>30492.826492060747</v>
      </c>
      <c r="BM73" s="75">
        <f t="shared" si="367"/>
        <v>30444.54618344831</v>
      </c>
      <c r="BN73" s="75">
        <f t="shared" si="367"/>
        <v>32321.342318657858</v>
      </c>
      <c r="BO73" s="75">
        <f t="shared" si="367"/>
        <v>28337.666859986653</v>
      </c>
      <c r="BP73" s="75">
        <f t="shared" si="367"/>
        <v>-1502.4105418920203</v>
      </c>
      <c r="BQ73" s="75">
        <f>+SUM(BE73:BP73)</f>
        <v>320027.90879302431</v>
      </c>
      <c r="BR73" s="8"/>
    </row>
    <row r="74" spans="3:70" hidden="1" outlineLevel="1" x14ac:dyDescent="0.2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3:70" hidden="1" outlineLevel="1" x14ac:dyDescent="0.2">
      <c r="C75" s="77" t="s">
        <v>176</v>
      </c>
      <c r="D75" s="78">
        <f>+D73-D14-D9-D17-D16</f>
        <v>-18100</v>
      </c>
      <c r="E75" s="78">
        <f>+E73-E14-E9-E17-E16-E32-E39</f>
        <v>-9137.6650000000009</v>
      </c>
      <c r="F75" s="78">
        <f t="shared" ref="E75:O75" si="368">+F73-F14-F9-F17-F16-F32-F39</f>
        <v>-8804.2109201388885</v>
      </c>
      <c r="G75" s="78">
        <f t="shared" si="368"/>
        <v>-4867.9591561776615</v>
      </c>
      <c r="H75" s="78">
        <f t="shared" si="368"/>
        <v>-969.30569172812375</v>
      </c>
      <c r="I75" s="78">
        <f t="shared" si="368"/>
        <v>-593.53746256145769</v>
      </c>
      <c r="J75" s="78">
        <f t="shared" si="368"/>
        <v>40.698367253397237</v>
      </c>
      <c r="K75" s="78">
        <f t="shared" si="368"/>
        <v>463.09644274656557</v>
      </c>
      <c r="L75" s="78">
        <f t="shared" si="368"/>
        <v>567.03046698999378</v>
      </c>
      <c r="M75" s="78">
        <f t="shared" si="368"/>
        <v>570.95826236170387</v>
      </c>
      <c r="N75" s="78">
        <f t="shared" si="368"/>
        <v>574.87983872407631</v>
      </c>
      <c r="O75" s="78">
        <f t="shared" si="368"/>
        <v>578.79520592387371</v>
      </c>
      <c r="P75" s="75">
        <f>+SUM(D75:O75)</f>
        <v>-39677.219646606522</v>
      </c>
      <c r="R75" s="78">
        <f t="shared" ref="R75:AC75" si="369">+R73-R14-R9-R17-R16-R32-R39</f>
        <v>-2000.9970971792357</v>
      </c>
      <c r="S75" s="78">
        <f t="shared" si="369"/>
        <v>2034.9724873558289</v>
      </c>
      <c r="T75" s="78">
        <f t="shared" si="369"/>
        <v>4694.848452341128</v>
      </c>
      <c r="U75" s="78">
        <f t="shared" si="369"/>
        <v>6283.7437032985326</v>
      </c>
      <c r="V75" s="78">
        <f t="shared" si="369"/>
        <v>6260.9754643794204</v>
      </c>
      <c r="W75" s="78">
        <f t="shared" si="369"/>
        <v>6238.2432751719298</v>
      </c>
      <c r="X75" s="78">
        <f t="shared" si="369"/>
        <v>6215.5470785973521</v>
      </c>
      <c r="Y75" s="78">
        <f t="shared" si="369"/>
        <v>6192.8868176673514</v>
      </c>
      <c r="Z75" s="78">
        <f t="shared" si="369"/>
        <v>6170.2624354838226</v>
      </c>
      <c r="AA75" s="78">
        <f t="shared" si="369"/>
        <v>6147.67387523875</v>
      </c>
      <c r="AB75" s="78">
        <f t="shared" si="369"/>
        <v>6125.1210802140668</v>
      </c>
      <c r="AC75" s="78">
        <f t="shared" si="369"/>
        <v>6102.603993781504</v>
      </c>
      <c r="AD75" s="75">
        <f>+SUM(R75:AC75)</f>
        <v>60465.88156635045</v>
      </c>
      <c r="AE75" s="78">
        <f t="shared" ref="AE75:AP75" si="370">+AE73-AE14-AE9-AE17-AE16-AE32-AE39</f>
        <v>4636.7223813274413</v>
      </c>
      <c r="AF75" s="78">
        <f t="shared" si="370"/>
        <v>7003.2956372945191</v>
      </c>
      <c r="AG75" s="78">
        <f t="shared" si="370"/>
        <v>8583.6165825563039</v>
      </c>
      <c r="AH75" s="78">
        <f t="shared" si="370"/>
        <v>9521.3738067380909</v>
      </c>
      <c r="AI75" s="78">
        <f t="shared" si="370"/>
        <v>9492.157605210763</v>
      </c>
      <c r="AJ75" s="78">
        <f t="shared" si="370"/>
        <v>9462.9876626691803</v>
      </c>
      <c r="AK75" s="78">
        <f t="shared" si="370"/>
        <v>9433.8639058699519</v>
      </c>
      <c r="AL75" s="78">
        <f t="shared" si="370"/>
        <v>9404.7862616856655</v>
      </c>
      <c r="AM75" s="78">
        <f t="shared" si="370"/>
        <v>9375.7546571046623</v>
      </c>
      <c r="AN75" s="78">
        <f t="shared" si="370"/>
        <v>9346.7690192309092</v>
      </c>
      <c r="AO75" s="78">
        <f t="shared" si="370"/>
        <v>9317.8292752837879</v>
      </c>
      <c r="AP75" s="78">
        <f t="shared" si="370"/>
        <v>9288.9353525979241</v>
      </c>
      <c r="AQ75" s="75">
        <f>+SUM(AE75:AP75)</f>
        <v>104868.09214756922</v>
      </c>
      <c r="AR75" s="78">
        <f t="shared" ref="AR75:BC75" si="371">+AR73-AR14-AR9-AR17-AR16-AR32-AR39</f>
        <v>8314.3371620619291</v>
      </c>
      <c r="AS75" s="78">
        <f t="shared" si="371"/>
        <v>11405.207340645709</v>
      </c>
      <c r="AT75" s="78">
        <f t="shared" si="371"/>
        <v>13468.905127601143</v>
      </c>
      <c r="AU75" s="78">
        <f t="shared" si="371"/>
        <v>14693.699485456405</v>
      </c>
      <c r="AV75" s="78">
        <f t="shared" si="371"/>
        <v>14656.055523312762</v>
      </c>
      <c r="AW75" s="78">
        <f t="shared" si="371"/>
        <v>14618.471164109187</v>
      </c>
      <c r="AX75" s="78">
        <f t="shared" si="371"/>
        <v>14580.946313474344</v>
      </c>
      <c r="AY75" s="78">
        <f t="shared" si="371"/>
        <v>14543.480877186348</v>
      </c>
      <c r="AZ75" s="78">
        <f t="shared" si="371"/>
        <v>14506.074761172471</v>
      </c>
      <c r="BA75" s="78">
        <f t="shared" si="371"/>
        <v>14468.727871508947</v>
      </c>
      <c r="BB75" s="78">
        <f t="shared" si="371"/>
        <v>14431.440114420731</v>
      </c>
      <c r="BC75" s="78">
        <f t="shared" si="371"/>
        <v>14394.211396281224</v>
      </c>
      <c r="BD75" s="75">
        <f>+SUM(AR75:BC75)</f>
        <v>164081.55713723117</v>
      </c>
      <c r="BE75" s="78">
        <f t="shared" ref="BE75:BP75" si="372">+BE73-BE14-BE9-BE17-BE16-BE32-BE39</f>
        <v>13129.213949112018</v>
      </c>
      <c r="BF75" s="78">
        <f t="shared" si="372"/>
        <v>17141.404793360838</v>
      </c>
      <c r="BG75" s="78">
        <f t="shared" si="372"/>
        <v>19820.091685464067</v>
      </c>
      <c r="BH75" s="78">
        <f t="shared" si="372"/>
        <v>21409.988592175621</v>
      </c>
      <c r="BI75" s="78">
        <f t="shared" si="372"/>
        <v>21361.401294071344</v>
      </c>
      <c r="BJ75" s="78">
        <f t="shared" si="372"/>
        <v>21312.890925855732</v>
      </c>
      <c r="BK75" s="78">
        <f t="shared" si="372"/>
        <v>21264.45736572313</v>
      </c>
      <c r="BL75" s="78">
        <f t="shared" si="372"/>
        <v>21216.100492060745</v>
      </c>
      <c r="BM75" s="78">
        <f t="shared" si="372"/>
        <v>21167.820183448312</v>
      </c>
      <c r="BN75" s="78">
        <f t="shared" si="372"/>
        <v>23055.149918657859</v>
      </c>
      <c r="BO75" s="78">
        <f t="shared" si="372"/>
        <v>19134.114894986655</v>
      </c>
      <c r="BP75" s="78">
        <f t="shared" si="372"/>
        <v>-10553.263710642019</v>
      </c>
      <c r="BQ75" s="75">
        <f>+SUM(BE75:BP75)</f>
        <v>209459.37038427428</v>
      </c>
    </row>
    <row r="76" spans="3:70" collapsed="1" x14ac:dyDescent="0.2"/>
    <row r="77" spans="3:70" x14ac:dyDescent="0.2">
      <c r="P77" s="7"/>
    </row>
    <row r="78" spans="3:70" x14ac:dyDescent="0.2">
      <c r="C78" s="105" t="s">
        <v>234</v>
      </c>
      <c r="D78" s="106">
        <v>0.39</v>
      </c>
      <c r="P78" s="122">
        <f>D78</f>
        <v>0.39</v>
      </c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3:70" x14ac:dyDescent="0.2">
      <c r="C79" s="107" t="s">
        <v>236</v>
      </c>
      <c r="D79" s="108">
        <v>3</v>
      </c>
      <c r="P79" s="122">
        <f t="shared" ref="P79:P86" si="373">D79</f>
        <v>3</v>
      </c>
    </row>
    <row r="80" spans="3:70" x14ac:dyDescent="0.2">
      <c r="C80" s="107" t="s">
        <v>37</v>
      </c>
      <c r="D80" s="109">
        <v>0.04</v>
      </c>
      <c r="P80" s="122">
        <f t="shared" si="373"/>
        <v>0.04</v>
      </c>
    </row>
    <row r="81" spans="3:69" x14ac:dyDescent="0.2">
      <c r="C81" s="107" t="s">
        <v>73</v>
      </c>
      <c r="D81" s="110">
        <v>1250</v>
      </c>
      <c r="E81" s="71"/>
      <c r="F81" s="121"/>
      <c r="P81" s="122">
        <f t="shared" si="373"/>
        <v>1250</v>
      </c>
    </row>
    <row r="82" spans="3:69" x14ac:dyDescent="0.2">
      <c r="C82" s="107" t="s">
        <v>235</v>
      </c>
      <c r="D82" s="111">
        <v>0.1</v>
      </c>
      <c r="E82" s="67"/>
      <c r="F82" s="67"/>
      <c r="P82" s="122">
        <f t="shared" si="373"/>
        <v>0.1</v>
      </c>
    </row>
    <row r="83" spans="3:69" x14ac:dyDescent="0.2">
      <c r="C83" s="107" t="s">
        <v>161</v>
      </c>
      <c r="D83" s="108">
        <v>1.3</v>
      </c>
      <c r="E83" s="67"/>
      <c r="F83" s="67"/>
      <c r="P83" s="122">
        <f t="shared" si="373"/>
        <v>1.3</v>
      </c>
    </row>
    <row r="84" spans="3:69" x14ac:dyDescent="0.2">
      <c r="C84" s="107" t="s">
        <v>227</v>
      </c>
      <c r="D84" s="112">
        <v>1.9E-2</v>
      </c>
      <c r="P84" s="122">
        <f t="shared" si="373"/>
        <v>1.9E-2</v>
      </c>
    </row>
    <row r="85" spans="3:69" x14ac:dyDescent="0.2">
      <c r="C85" s="107" t="s">
        <v>154</v>
      </c>
      <c r="D85" s="112">
        <v>0.3</v>
      </c>
      <c r="P85" s="122">
        <f t="shared" si="373"/>
        <v>0.3</v>
      </c>
    </row>
    <row r="86" spans="3:69" x14ac:dyDescent="0.2">
      <c r="C86" s="113" t="s">
        <v>229</v>
      </c>
      <c r="D86" s="114">
        <v>1.9E-2</v>
      </c>
      <c r="P86" s="123">
        <f t="shared" si="373"/>
        <v>1.9E-2</v>
      </c>
    </row>
    <row r="89" spans="3:69" x14ac:dyDescent="0.2">
      <c r="C89" s="1" t="s">
        <v>156</v>
      </c>
      <c r="E89" s="1">
        <f t="shared" ref="E89:P89" si="374">+E39/E42</f>
        <v>276.61633333333333</v>
      </c>
      <c r="F89" s="1">
        <f t="shared" si="374"/>
        <v>93.916434027777782</v>
      </c>
      <c r="G89" s="1">
        <f t="shared" si="374"/>
        <v>78.654919270833346</v>
      </c>
      <c r="H89" s="1">
        <f t="shared" si="374"/>
        <v>47.64900744047619</v>
      </c>
      <c r="I89" s="1">
        <f t="shared" si="374"/>
        <v>33.547273958333335</v>
      </c>
      <c r="J89" s="1">
        <f t="shared" si="374"/>
        <v>22.588693055555556</v>
      </c>
      <c r="K89" s="1">
        <f t="shared" si="374"/>
        <v>22.696755555555555</v>
      </c>
      <c r="L89" s="1">
        <f t="shared" si="374"/>
        <v>22.696755555555555</v>
      </c>
      <c r="M89" s="1">
        <f t="shared" si="374"/>
        <v>22.696755555555555</v>
      </c>
      <c r="N89" s="1">
        <f t="shared" si="374"/>
        <v>17.022566666666666</v>
      </c>
      <c r="O89" s="1">
        <f t="shared" si="374"/>
        <v>17.022566666666666</v>
      </c>
      <c r="P89" s="6">
        <f t="shared" si="374"/>
        <v>63.232024999999993</v>
      </c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>
        <f>+AD39/AD42</f>
        <v>67.04534799999999</v>
      </c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>
        <f>+AQ39/AQ42</f>
        <v>59.601214826666663</v>
      </c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>
        <f>+BD39/BD42</f>
        <v>59.811201026438084</v>
      </c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>
        <f>+BQ39/BQ42</f>
        <v>46.345897013913586</v>
      </c>
    </row>
    <row r="90" spans="3:69" x14ac:dyDescent="0.2">
      <c r="C90" s="1" t="s">
        <v>157</v>
      </c>
      <c r="D90" s="1">
        <f>+D81*D78*2*4</f>
        <v>3900</v>
      </c>
      <c r="P90" s="1">
        <f>+D90</f>
        <v>3900</v>
      </c>
      <c r="AD90" s="1">
        <f>+P90</f>
        <v>3900</v>
      </c>
      <c r="AQ90" s="1">
        <f>+AD90</f>
        <v>3900</v>
      </c>
      <c r="BD90" s="1">
        <f>+AQ90</f>
        <v>3900</v>
      </c>
      <c r="BQ90" s="1">
        <f>+BD90</f>
        <v>3900</v>
      </c>
    </row>
    <row r="91" spans="3:69" x14ac:dyDescent="0.2">
      <c r="P91" s="68">
        <f>+P90/P89</f>
        <v>61.67760719350678</v>
      </c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>
        <f t="shared" ref="AD91:BQ91" si="375">+AD90/AD89</f>
        <v>58.169583965765987</v>
      </c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>
        <f t="shared" si="375"/>
        <v>65.434907851157917</v>
      </c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>
        <f t="shared" si="375"/>
        <v>65.205177844131569</v>
      </c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>
        <f t="shared" si="375"/>
        <v>84.14984391885163</v>
      </c>
    </row>
  </sheetData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0ECD7-D4D9-914B-9BB1-41A53DB0B6DE}">
  <dimension ref="B4:M29"/>
  <sheetViews>
    <sheetView workbookViewId="0">
      <selection activeCell="D11" sqref="D11:H11"/>
    </sheetView>
  </sheetViews>
  <sheetFormatPr baseColWidth="10" defaultRowHeight="16" x14ac:dyDescent="0.2"/>
  <cols>
    <col min="1" max="1" width="10.83203125" style="11"/>
    <col min="2" max="2" width="46.33203125" style="11" bestFit="1" customWidth="1"/>
    <col min="3" max="3" width="11.6640625" style="11" customWidth="1"/>
    <col min="4" max="8" width="17" style="11" customWidth="1"/>
    <col min="9" max="16384" width="10.83203125" style="11"/>
  </cols>
  <sheetData>
    <row r="4" spans="2:13" x14ac:dyDescent="0.2">
      <c r="D4" s="13">
        <f>+D7/D6</f>
        <v>0.29329103298523218</v>
      </c>
    </row>
    <row r="5" spans="2:13" x14ac:dyDescent="0.2">
      <c r="B5" s="43" t="s">
        <v>0</v>
      </c>
      <c r="C5" s="43" t="s">
        <v>95</v>
      </c>
      <c r="D5" s="44" t="s">
        <v>29</v>
      </c>
      <c r="E5" s="44" t="s">
        <v>15</v>
      </c>
      <c r="F5" s="44" t="s">
        <v>16</v>
      </c>
      <c r="G5" s="44" t="s">
        <v>17</v>
      </c>
      <c r="H5" s="44" t="s">
        <v>18</v>
      </c>
    </row>
    <row r="6" spans="2:13" x14ac:dyDescent="0.2">
      <c r="B6" s="12" t="s">
        <v>58</v>
      </c>
      <c r="D6" s="88">
        <f>+'Inversión y Gastos'!P68</f>
        <v>83242.5</v>
      </c>
      <c r="E6" s="88">
        <f>+'Inversión y Gastos'!AD68</f>
        <v>219727.5</v>
      </c>
      <c r="F6" s="88">
        <f>+'Inversión y Gastos'!AQ68</f>
        <v>301684.5</v>
      </c>
      <c r="G6" s="88">
        <f>+'Inversión y Gastos'!BD68</f>
        <v>392517.875</v>
      </c>
      <c r="H6" s="88">
        <f>+'Inversión y Gastos'!BQ68</f>
        <v>494219.91624999995</v>
      </c>
    </row>
    <row r="7" spans="2:13" x14ac:dyDescent="0.2">
      <c r="B7" s="92" t="s">
        <v>59</v>
      </c>
      <c r="D7" s="93">
        <f>+'Inversión y Gastos'!$P$71</f>
        <v>24414.278813273188</v>
      </c>
      <c r="E7" s="93">
        <f>+'Inversión y Gastos'!$AD$71</f>
        <v>57451.830456796168</v>
      </c>
      <c r="F7" s="93">
        <f>+'Inversión y Gastos'!$AQ$71</f>
        <v>74877.385029391327</v>
      </c>
      <c r="G7" s="93">
        <f>+'Inversión y Gastos'!$BD$71</f>
        <v>96459.31487651504</v>
      </c>
      <c r="H7" s="93">
        <f>+'Inversión y Gastos'!$BQ$71</f>
        <v>108145.5131375769</v>
      </c>
      <c r="J7" s="11">
        <v>300000</v>
      </c>
      <c r="K7" s="11">
        <v>300000</v>
      </c>
      <c r="L7" s="11">
        <v>300000</v>
      </c>
      <c r="M7" s="11">
        <v>300000</v>
      </c>
    </row>
    <row r="8" spans="2:13" x14ac:dyDescent="0.2">
      <c r="B8" s="12" t="s">
        <v>233</v>
      </c>
      <c r="D8" s="88">
        <f>+D6-D7</f>
        <v>58828.221186726812</v>
      </c>
      <c r="E8" s="88">
        <f t="shared" ref="E8:H8" si="0">+E6-E7</f>
        <v>162275.66954320384</v>
      </c>
      <c r="F8" s="88">
        <f t="shared" si="0"/>
        <v>226807.11497060867</v>
      </c>
      <c r="G8" s="88">
        <f t="shared" si="0"/>
        <v>296058.56012348493</v>
      </c>
      <c r="H8" s="88">
        <f t="shared" si="0"/>
        <v>386074.40311242302</v>
      </c>
      <c r="J8" s="11">
        <f>+D7/J7</f>
        <v>8.1380929377577294E-2</v>
      </c>
      <c r="K8" s="11">
        <f>+E7/K7</f>
        <v>0.1915061015226539</v>
      </c>
      <c r="L8" s="11">
        <f>+F7/L7</f>
        <v>0.24959128343130443</v>
      </c>
      <c r="M8" s="11">
        <f>+G7/M7</f>
        <v>0.32153104958838347</v>
      </c>
    </row>
    <row r="9" spans="2:13" x14ac:dyDescent="0.2">
      <c r="B9" s="92" t="s">
        <v>51</v>
      </c>
      <c r="D9" s="89">
        <f>+'Inversión y Gastos'!P16+'Inversión y Gastos'!P39+'Inversión y Gastos'!P17</f>
        <v>21969.607499999998</v>
      </c>
      <c r="E9" s="89">
        <f>+'Inversión y Gastos'!AD39</f>
        <v>23465.871799999997</v>
      </c>
      <c r="F9" s="89">
        <f>+'Inversión y Gastos'!AQ39</f>
        <v>26820.546671999997</v>
      </c>
      <c r="G9" s="89">
        <f>+'Inversión y Gastos'!BD39</f>
        <v>31400.880538879996</v>
      </c>
      <c r="H9" s="89">
        <f>+'Inversión y Gastos'!BQ39</f>
        <v>34759.422760435191</v>
      </c>
    </row>
    <row r="10" spans="2:13" x14ac:dyDescent="0.2">
      <c r="B10" s="92" t="s">
        <v>50</v>
      </c>
      <c r="D10" s="89">
        <f>+'Inversión y Gastos'!P14+'Inversión y Gastos'!P32</f>
        <v>30550</v>
      </c>
      <c r="E10" s="89">
        <f>+'Inversión y Gastos'!AD32</f>
        <v>70723.199999999997</v>
      </c>
      <c r="F10" s="89">
        <f>+'Inversión y Gastos'!AQ32</f>
        <v>76442.880000000005</v>
      </c>
      <c r="G10" s="89">
        <f>+'Inversión y Gastos'!BD32</f>
        <v>79116.595199999996</v>
      </c>
      <c r="H10" s="89">
        <f>+'Inversión y Gastos'!BQ32</f>
        <v>81897.259008000008</v>
      </c>
    </row>
    <row r="11" spans="2:13" x14ac:dyDescent="0.2">
      <c r="B11" s="92" t="s">
        <v>172</v>
      </c>
      <c r="D11" s="89">
        <f>+'Inversión y Gastos'!P60</f>
        <v>4169.6128303141077</v>
      </c>
      <c r="E11" s="89">
        <f>+'Inversión y Gastos'!AD60</f>
        <v>9987.5612812788313</v>
      </c>
      <c r="F11" s="89">
        <f>+'Inversión y Gastos'!AQ60</f>
        <v>13963.812525416262</v>
      </c>
      <c r="G11" s="89">
        <f>+'Inversión y Gastos'!BD60</f>
        <v>17983.660622523515</v>
      </c>
      <c r="H11" s="89">
        <f>+'Inversión y Gastos'!BQ60</f>
        <v>21796.975832874996</v>
      </c>
    </row>
    <row r="12" spans="2:13" x14ac:dyDescent="0.2">
      <c r="B12" s="50" t="s">
        <v>52</v>
      </c>
      <c r="C12" s="51"/>
      <c r="D12" s="90">
        <f>+D6-D10-D9-D7-D11</f>
        <v>2139.0008564127065</v>
      </c>
      <c r="E12" s="90">
        <f t="shared" ref="E12:H12" si="1">+E6-E10-E9-E7-E11</f>
        <v>58099.036461925003</v>
      </c>
      <c r="F12" s="90">
        <f t="shared" si="1"/>
        <v>109579.87577319241</v>
      </c>
      <c r="G12" s="90">
        <f t="shared" si="1"/>
        <v>167557.42376208145</v>
      </c>
      <c r="H12" s="90">
        <f t="shared" si="1"/>
        <v>247620.74551111285</v>
      </c>
    </row>
    <row r="13" spans="2:13" x14ac:dyDescent="0.2">
      <c r="B13" s="92" t="s">
        <v>77</v>
      </c>
      <c r="D13" s="89"/>
      <c r="E13" s="89"/>
      <c r="F13" s="89"/>
      <c r="G13" s="89"/>
      <c r="H13" s="89"/>
    </row>
    <row r="14" spans="2:13" x14ac:dyDescent="0.2">
      <c r="B14" s="92" t="s">
        <v>53</v>
      </c>
      <c r="D14" s="89">
        <f>+'Inversión y Gastos'!$P$9*0.2</f>
        <v>9408</v>
      </c>
      <c r="E14" s="89">
        <f>+'Inversión y Gastos'!$P$9*0.2</f>
        <v>9408</v>
      </c>
      <c r="F14" s="89">
        <f>+'Inversión y Gastos'!$P$9*0.2</f>
        <v>9408</v>
      </c>
      <c r="G14" s="89">
        <f>+'Inversión y Gastos'!$P$9*0.2</f>
        <v>9408</v>
      </c>
      <c r="H14" s="89">
        <f>+'Inversión y Gastos'!$P$9*0.2</f>
        <v>9408</v>
      </c>
    </row>
    <row r="15" spans="2:13" x14ac:dyDescent="0.2">
      <c r="B15" s="50" t="s">
        <v>54</v>
      </c>
      <c r="C15" s="51"/>
      <c r="D15" s="90">
        <f>+D12-D14</f>
        <v>-7268.9991435872935</v>
      </c>
      <c r="E15" s="90">
        <f>+E12-E14</f>
        <v>48691.036461925003</v>
      </c>
      <c r="F15" s="90">
        <f>+F12-F14</f>
        <v>100171.87577319241</v>
      </c>
      <c r="G15" s="90">
        <f>+G12-G14</f>
        <v>158149.42376208145</v>
      </c>
      <c r="H15" s="90">
        <f>+H12-H14</f>
        <v>238212.74551111285</v>
      </c>
    </row>
    <row r="16" spans="2:13" x14ac:dyDescent="0.2">
      <c r="B16" s="92" t="s">
        <v>55</v>
      </c>
      <c r="D16" s="89"/>
      <c r="E16" s="89"/>
      <c r="F16" s="89"/>
      <c r="G16" s="89"/>
      <c r="H16" s="89"/>
    </row>
    <row r="17" spans="2:8" x14ac:dyDescent="0.2">
      <c r="B17" s="92" t="s">
        <v>56</v>
      </c>
      <c r="C17" s="14">
        <v>0.03</v>
      </c>
      <c r="D17" s="89">
        <f>+D6*$C$17</f>
        <v>2497.2750000000001</v>
      </c>
      <c r="E17" s="89">
        <f>+E6*$C$17</f>
        <v>6591.8249999999998</v>
      </c>
      <c r="F17" s="89">
        <f>+F6*$C$17</f>
        <v>9050.5349999999999</v>
      </c>
      <c r="G17" s="89">
        <f>+G6*$C$17</f>
        <v>11775.536249999999</v>
      </c>
      <c r="H17" s="89">
        <f>+H6*$C$17</f>
        <v>14826.597487499997</v>
      </c>
    </row>
    <row r="18" spans="2:8" x14ac:dyDescent="0.2">
      <c r="B18" s="50" t="s">
        <v>57</v>
      </c>
      <c r="C18" s="51"/>
      <c r="D18" s="91">
        <f>+D15-D11-D17-D16</f>
        <v>-13935.886973901401</v>
      </c>
      <c r="E18" s="91">
        <f>+E15-E11-E17-E16</f>
        <v>32111.650180646171</v>
      </c>
      <c r="F18" s="91">
        <f>+F15-F11-F17-F16</f>
        <v>77157.52824777615</v>
      </c>
      <c r="G18" s="91">
        <f>+G15-G11-G17-G16</f>
        <v>128390.22688955793</v>
      </c>
      <c r="H18" s="91">
        <f>+H15-H11-H17-H16</f>
        <v>201589.17219073785</v>
      </c>
    </row>
    <row r="19" spans="2:8" x14ac:dyDescent="0.2">
      <c r="B19" s="92" t="s">
        <v>58</v>
      </c>
      <c r="D19" s="89"/>
      <c r="E19" s="89"/>
      <c r="F19" s="89"/>
      <c r="G19" s="89"/>
      <c r="H19" s="89"/>
    </row>
    <row r="20" spans="2:8" x14ac:dyDescent="0.2">
      <c r="B20" s="92" t="s">
        <v>59</v>
      </c>
      <c r="D20" s="93"/>
      <c r="E20" s="93"/>
      <c r="F20" s="93"/>
      <c r="G20" s="93"/>
      <c r="H20" s="93"/>
    </row>
    <row r="21" spans="2:8" x14ac:dyDescent="0.2">
      <c r="B21" s="50" t="s">
        <v>60</v>
      </c>
      <c r="C21" s="51"/>
      <c r="D21" s="91">
        <f>+D18-D19-D20</f>
        <v>-13935.886973901401</v>
      </c>
      <c r="E21" s="91">
        <f>+E18-E19-E20</f>
        <v>32111.650180646171</v>
      </c>
      <c r="F21" s="91">
        <f>+F18-F19-F20</f>
        <v>77157.52824777615</v>
      </c>
      <c r="G21" s="91">
        <f>+G18-G19-G20</f>
        <v>128390.22688955793</v>
      </c>
      <c r="H21" s="91">
        <f>+H18-H19-H20</f>
        <v>201589.17219073785</v>
      </c>
    </row>
    <row r="22" spans="2:8" x14ac:dyDescent="0.2">
      <c r="B22" s="92" t="s">
        <v>228</v>
      </c>
      <c r="C22" s="14">
        <v>0.3</v>
      </c>
      <c r="D22" s="89">
        <f>+D18*$C$22</f>
        <v>-4180.7660921704201</v>
      </c>
      <c r="E22" s="89">
        <f t="shared" ref="E22:H22" si="2">+E18*$C$22</f>
        <v>9633.4950541938506</v>
      </c>
      <c r="F22" s="89">
        <f t="shared" si="2"/>
        <v>23147.258474332844</v>
      </c>
      <c r="G22" s="89">
        <f t="shared" si="2"/>
        <v>38517.068066867381</v>
      </c>
      <c r="H22" s="89">
        <f t="shared" si="2"/>
        <v>60476.75165722135</v>
      </c>
    </row>
    <row r="23" spans="2:8" x14ac:dyDescent="0.2">
      <c r="B23" s="92" t="s">
        <v>61</v>
      </c>
      <c r="D23" s="89">
        <f>+D22</f>
        <v>-4180.7660921704201</v>
      </c>
      <c r="E23" s="89">
        <f>+E22</f>
        <v>9633.4950541938506</v>
      </c>
      <c r="F23" s="89">
        <f>+F22</f>
        <v>23147.258474332844</v>
      </c>
      <c r="G23" s="89">
        <f>+G22</f>
        <v>38517.068066867381</v>
      </c>
      <c r="H23" s="89">
        <f>+H22</f>
        <v>60476.75165722135</v>
      </c>
    </row>
    <row r="24" spans="2:8" x14ac:dyDescent="0.2">
      <c r="B24" s="50" t="s">
        <v>62</v>
      </c>
      <c r="C24" s="51"/>
      <c r="D24" s="91">
        <f>+D21-D23</f>
        <v>-9755.1208817309816</v>
      </c>
      <c r="E24" s="91">
        <f>+E21-E23</f>
        <v>22478.155126452322</v>
      </c>
      <c r="F24" s="91">
        <f>+F21-F23</f>
        <v>54010.269773443302</v>
      </c>
      <c r="G24" s="91">
        <f>+G21-G23</f>
        <v>89873.158822690544</v>
      </c>
      <c r="H24" s="91">
        <f>+H21-H23</f>
        <v>141112.4205335165</v>
      </c>
    </row>
    <row r="26" spans="2:8" x14ac:dyDescent="0.2">
      <c r="B26" s="12"/>
    </row>
    <row r="27" spans="2:8" x14ac:dyDescent="0.2">
      <c r="B27" s="12"/>
    </row>
    <row r="29" spans="2:8" x14ac:dyDescent="0.2">
      <c r="G29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C3519-9FC1-CF44-A6B8-1BFB61D267C8}">
  <dimension ref="A1:K40"/>
  <sheetViews>
    <sheetView workbookViewId="0">
      <selection activeCell="I18" sqref="I18"/>
    </sheetView>
  </sheetViews>
  <sheetFormatPr baseColWidth="10" defaultRowHeight="16" x14ac:dyDescent="0.2"/>
  <cols>
    <col min="1" max="1" width="31" style="11" bestFit="1" customWidth="1"/>
    <col min="2" max="7" width="15.1640625" style="11" customWidth="1"/>
    <col min="8" max="16384" width="10.83203125" style="11"/>
  </cols>
  <sheetData>
    <row r="1" spans="1:11" x14ac:dyDescent="0.2">
      <c r="D1" s="119">
        <f>+D8/C8</f>
        <v>1.0038601083508716</v>
      </c>
      <c r="E1" s="119">
        <f>+E8/(D8+C8)</f>
        <v>0.29798882355118328</v>
      </c>
      <c r="F1" s="119">
        <f>+F8/(E8+D8+C8)</f>
        <v>0.29969959971093296</v>
      </c>
      <c r="G1" s="119">
        <f>+G8/(F8+E8+D8+C8)</f>
        <v>0.29926728834083594</v>
      </c>
    </row>
    <row r="3" spans="1:11" x14ac:dyDescent="0.2">
      <c r="A3" t="s">
        <v>78</v>
      </c>
      <c r="B3" s="15" t="s">
        <v>79</v>
      </c>
      <c r="C3" s="15" t="s">
        <v>29</v>
      </c>
      <c r="D3" s="15" t="s">
        <v>15</v>
      </c>
      <c r="E3" s="15" t="s">
        <v>16</v>
      </c>
      <c r="F3" s="15" t="s">
        <v>17</v>
      </c>
      <c r="G3" s="15" t="s">
        <v>18</v>
      </c>
    </row>
    <row r="4" spans="1:11" x14ac:dyDescent="0.2">
      <c r="A4" s="16" t="s">
        <v>238</v>
      </c>
      <c r="B4"/>
      <c r="C4"/>
      <c r="D4"/>
      <c r="E4"/>
      <c r="F4"/>
      <c r="G4"/>
    </row>
    <row r="5" spans="1:11" x14ac:dyDescent="0.2">
      <c r="A5" t="str">
        <f>+'Inversión y Gastos'!B6</f>
        <v>Inversión en Activos</v>
      </c>
      <c r="B5" s="17">
        <f>+'Inversión y Gastos'!P9</f>
        <v>47040</v>
      </c>
      <c r="C5" s="18"/>
      <c r="D5" s="18"/>
      <c r="E5" s="18"/>
      <c r="F5" s="18"/>
      <c r="G5" s="18"/>
    </row>
    <row r="6" spans="1:11" x14ac:dyDescent="0.2">
      <c r="A6" t="str">
        <f>+'Inversión y Gastos'!B10</f>
        <v>Costos Administrativos y Operativos</v>
      </c>
      <c r="B6" s="17">
        <f>+'Inversión y Gastos'!P14</f>
        <v>8250</v>
      </c>
      <c r="C6" s="18"/>
      <c r="D6" s="18"/>
      <c r="E6" s="18"/>
      <c r="F6" s="18"/>
      <c r="G6" s="18"/>
    </row>
    <row r="7" spans="1:11" x14ac:dyDescent="0.2">
      <c r="A7" s="116" t="s">
        <v>243</v>
      </c>
      <c r="B7" s="117"/>
      <c r="C7" s="118">
        <f>+'Inversión y Gastos'!P48</f>
        <v>1260</v>
      </c>
      <c r="D7" s="118">
        <f>+'Inversión y Gastos'!AD48</f>
        <v>2880</v>
      </c>
      <c r="E7" s="118">
        <f>+'Inversión y Gastos'!AQ48</f>
        <v>3744</v>
      </c>
      <c r="F7" s="118">
        <f>+'Inversión y Gastos'!BD48</f>
        <v>4872</v>
      </c>
      <c r="G7" s="118">
        <f>+'Inversión y Gastos'!BQ48</f>
        <v>5215.32</v>
      </c>
    </row>
    <row r="8" spans="1:11" x14ac:dyDescent="0.2">
      <c r="A8" s="96" t="str">
        <f>+'Inversión y Gastos'!B15</f>
        <v>Capital de trabajo  requerido</v>
      </c>
      <c r="B8" s="96"/>
      <c r="C8" s="97">
        <f>+'Inversión y Gastos'!P19</f>
        <v>303000</v>
      </c>
      <c r="D8" s="97">
        <f>+'Inversión y Gastos'!AD19</f>
        <v>304169.61283031409</v>
      </c>
      <c r="E8" s="97">
        <f>+'Inversión y Gastos'!AQ19</f>
        <v>180929.75862333272</v>
      </c>
      <c r="F8" s="97">
        <f>+'Inversión y Gastos'!BD19</f>
        <v>236193.06615709583</v>
      </c>
      <c r="G8" s="97">
        <f>'Inversión y Gastos'!BQ19</f>
        <v>306537.2202717918</v>
      </c>
      <c r="I8" s="120"/>
      <c r="J8" s="120"/>
      <c r="K8" s="120"/>
    </row>
    <row r="9" spans="1:11" x14ac:dyDescent="0.2">
      <c r="A9"/>
      <c r="B9" s="17"/>
      <c r="C9" s="18"/>
      <c r="D9" s="18"/>
      <c r="E9" s="18"/>
      <c r="F9" s="18"/>
      <c r="G9" s="18"/>
      <c r="I9" s="120"/>
      <c r="J9" s="120"/>
      <c r="K9" s="120"/>
    </row>
    <row r="10" spans="1:11" x14ac:dyDescent="0.2">
      <c r="A10" s="16" t="s">
        <v>80</v>
      </c>
      <c r="B10" s="19"/>
      <c r="C10" s="18"/>
      <c r="D10" s="18"/>
      <c r="E10" s="18"/>
      <c r="F10" s="18"/>
      <c r="G10" s="18"/>
      <c r="I10" s="120"/>
      <c r="J10" s="120"/>
      <c r="K10" s="120"/>
    </row>
    <row r="11" spans="1:11" x14ac:dyDescent="0.2">
      <c r="A11" t="str">
        <f>+'Estado de Resultados'!B6</f>
        <v xml:space="preserve">Ingresos financieros </v>
      </c>
      <c r="B11" s="35"/>
      <c r="C11" s="35">
        <f>+'Estado de Resultados'!D6</f>
        <v>83242.5</v>
      </c>
      <c r="D11" s="35">
        <f>+'Estado de Resultados'!E6</f>
        <v>219727.5</v>
      </c>
      <c r="E11" s="35">
        <f>+'Estado de Resultados'!F6</f>
        <v>301684.5</v>
      </c>
      <c r="F11" s="35">
        <f>+'Estado de Resultados'!G6</f>
        <v>392517.875</v>
      </c>
      <c r="G11" s="35">
        <f>+'Estado de Resultados'!H6</f>
        <v>494219.91624999995</v>
      </c>
      <c r="I11" s="120"/>
      <c r="J11" s="120"/>
      <c r="K11" s="120"/>
    </row>
    <row r="12" spans="1:11" x14ac:dyDescent="0.2">
      <c r="C12" s="119"/>
      <c r="D12" s="119"/>
      <c r="I12" s="120"/>
      <c r="J12" s="120"/>
      <c r="K12" s="120"/>
    </row>
    <row r="13" spans="1:11" x14ac:dyDescent="0.2">
      <c r="A13" s="40" t="s">
        <v>49</v>
      </c>
      <c r="B13" s="41"/>
      <c r="C13" s="42">
        <f>+C11</f>
        <v>83242.5</v>
      </c>
      <c r="D13" s="42">
        <f t="shared" ref="D13:G13" si="0">+D11</f>
        <v>219727.5</v>
      </c>
      <c r="E13" s="42">
        <f t="shared" si="0"/>
        <v>301684.5</v>
      </c>
      <c r="F13" s="42">
        <f t="shared" si="0"/>
        <v>392517.875</v>
      </c>
      <c r="G13" s="42">
        <f t="shared" si="0"/>
        <v>494219.91624999995</v>
      </c>
    </row>
    <row r="14" spans="1:11" x14ac:dyDescent="0.2">
      <c r="A14" s="20" t="str">
        <f>+'Estado de Resultados'!B7</f>
        <v xml:space="preserve">Gastos financieros </v>
      </c>
      <c r="B14" s="21"/>
      <c r="C14" s="115">
        <f>+'Estado de Resultados'!D7</f>
        <v>24414.278813273188</v>
      </c>
      <c r="D14" s="115">
        <f>+'Estado de Resultados'!E7</f>
        <v>57451.830456796168</v>
      </c>
      <c r="E14" s="115">
        <f>+'Estado de Resultados'!F7</f>
        <v>74877.385029391327</v>
      </c>
      <c r="F14" s="115">
        <f>+'Estado de Resultados'!G7</f>
        <v>96459.31487651504</v>
      </c>
      <c r="G14" s="115">
        <f>+'Estado de Resultados'!H7</f>
        <v>108145.5131375769</v>
      </c>
    </row>
    <row r="15" spans="1:11" x14ac:dyDescent="0.2">
      <c r="A15" s="20" t="str">
        <f>+'Estado de Resultados'!B9</f>
        <v>Gastos de Ventas</v>
      </c>
      <c r="B15" s="22"/>
      <c r="C15" s="18">
        <f>+'Estado de Resultados'!D9</f>
        <v>21969.607499999998</v>
      </c>
      <c r="D15" s="18">
        <f>+'Estado de Resultados'!E9</f>
        <v>23465.871799999997</v>
      </c>
      <c r="E15" s="18">
        <f>+'Estado de Resultados'!F9</f>
        <v>26820.546671999997</v>
      </c>
      <c r="F15" s="18">
        <f>+'Estado de Resultados'!G9</f>
        <v>31400.880538879996</v>
      </c>
      <c r="G15" s="18">
        <f>+'Estado de Resultados'!H9</f>
        <v>34759.422760435191</v>
      </c>
    </row>
    <row r="16" spans="1:11" x14ac:dyDescent="0.2">
      <c r="A16" s="20" t="str">
        <f>+'Estado de Resultados'!B10</f>
        <v>Gastos de Administración</v>
      </c>
      <c r="B16" s="22"/>
      <c r="C16" s="18">
        <f>+'Estado de Resultados'!D10</f>
        <v>30550</v>
      </c>
      <c r="D16" s="18">
        <f>+'Estado de Resultados'!E10</f>
        <v>70723.199999999997</v>
      </c>
      <c r="E16" s="18">
        <f>+'Estado de Resultados'!F10</f>
        <v>76442.880000000005</v>
      </c>
      <c r="F16" s="18">
        <f>+'Estado de Resultados'!G10</f>
        <v>79116.595199999996</v>
      </c>
      <c r="G16" s="18">
        <f>+'Estado de Resultados'!H10</f>
        <v>81897.259008000008</v>
      </c>
    </row>
    <row r="17" spans="1:8" x14ac:dyDescent="0.2">
      <c r="A17" s="20" t="str">
        <f>+'Estado de Resultados'!B11</f>
        <v>Morosidad</v>
      </c>
      <c r="B17" s="22"/>
      <c r="C17" s="18">
        <f>+'Estado de Resultados'!D11</f>
        <v>4169.6128303141077</v>
      </c>
      <c r="D17" s="18">
        <f>+'Estado de Resultados'!E11</f>
        <v>9987.5612812788313</v>
      </c>
      <c r="E17" s="18">
        <f>+'Estado de Resultados'!F11</f>
        <v>13963.812525416262</v>
      </c>
      <c r="F17" s="18">
        <f>+'Estado de Resultados'!G11</f>
        <v>17983.660622523515</v>
      </c>
      <c r="G17" s="18">
        <f>+'Estado de Resultados'!H11</f>
        <v>21796.975832874996</v>
      </c>
      <c r="H17" s="13"/>
    </row>
    <row r="18" spans="1:8" x14ac:dyDescent="0.2">
      <c r="A18" s="23" t="s">
        <v>245</v>
      </c>
      <c r="B18" s="24"/>
      <c r="C18" s="25">
        <f>+C13-C15-C16-C17-C14</f>
        <v>2139.0008564127056</v>
      </c>
      <c r="D18" s="25">
        <f t="shared" ref="D18:G18" si="1">+D13-D15-D16-D17-D14</f>
        <v>58099.03646192501</v>
      </c>
      <c r="E18" s="25">
        <f t="shared" si="1"/>
        <v>109579.87577319244</v>
      </c>
      <c r="F18" s="25">
        <f t="shared" si="1"/>
        <v>167557.42376208145</v>
      </c>
      <c r="G18" s="25">
        <f t="shared" si="1"/>
        <v>247620.74551111282</v>
      </c>
    </row>
    <row r="19" spans="1:8" x14ac:dyDescent="0.2">
      <c r="A19" s="20" t="str">
        <f>+'Estado de Resultados'!B13</f>
        <v>Depreciación</v>
      </c>
      <c r="B19" s="22">
        <v>3.6999999999999998E-2</v>
      </c>
      <c r="C19" s="18">
        <f>+'Estado de Resultados'!D13</f>
        <v>0</v>
      </c>
      <c r="D19" s="18">
        <f>+'Estado de Resultados'!E13</f>
        <v>0</v>
      </c>
      <c r="E19" s="18">
        <f>+'Estado de Resultados'!F13</f>
        <v>0</v>
      </c>
      <c r="F19" s="18">
        <f>+'Estado de Resultados'!G13</f>
        <v>0</v>
      </c>
      <c r="G19" s="18">
        <f>+'Estado de Resultados'!H13</f>
        <v>0</v>
      </c>
    </row>
    <row r="20" spans="1:8" x14ac:dyDescent="0.2">
      <c r="A20" s="20" t="str">
        <f>+'Estado de Resultados'!B14</f>
        <v>Amortización</v>
      </c>
      <c r="B20" s="22">
        <v>0.05</v>
      </c>
      <c r="C20" s="18">
        <f>+'Estado de Resultados'!D14</f>
        <v>9408</v>
      </c>
      <c r="D20" s="18">
        <f>+'Estado de Resultados'!E14</f>
        <v>9408</v>
      </c>
      <c r="E20" s="18">
        <f>+'Estado de Resultados'!F14</f>
        <v>9408</v>
      </c>
      <c r="F20" s="18">
        <f>+'Estado de Resultados'!G14</f>
        <v>9408</v>
      </c>
      <c r="G20" s="18">
        <f>+'Estado de Resultados'!H14</f>
        <v>9408</v>
      </c>
    </row>
    <row r="21" spans="1:8" x14ac:dyDescent="0.2">
      <c r="A21" s="23" t="s">
        <v>82</v>
      </c>
      <c r="B21" s="24"/>
      <c r="C21" s="25">
        <f>+C18-(SUM(C19:C20))</f>
        <v>-7268.9991435872944</v>
      </c>
      <c r="D21" s="25">
        <f>+D18-(SUM(D19:D20))</f>
        <v>48691.03646192501</v>
      </c>
      <c r="E21" s="25">
        <f>+E18-(SUM(E19:E20))</f>
        <v>100171.87577319244</v>
      </c>
      <c r="F21" s="25">
        <f>+F18-(SUM(F19:F20))</f>
        <v>158149.42376208145</v>
      </c>
      <c r="G21" s="25">
        <f>+G18-(SUM(G19:G20))</f>
        <v>238212.74551111282</v>
      </c>
    </row>
    <row r="22" spans="1:8" x14ac:dyDescent="0.2">
      <c r="A22" t="s">
        <v>154</v>
      </c>
      <c r="B22" s="22">
        <v>0.3</v>
      </c>
      <c r="C22" s="18"/>
      <c r="D22" s="18">
        <f>+D21*$B$22</f>
        <v>14607.310938577502</v>
      </c>
      <c r="E22" s="18">
        <f>+E21*$B$22</f>
        <v>30051.562731957732</v>
      </c>
      <c r="F22" s="18">
        <f>+F21*$B$22</f>
        <v>47444.827128624434</v>
      </c>
      <c r="G22" s="18">
        <f>+G21*$B$22</f>
        <v>71463.82365333385</v>
      </c>
    </row>
    <row r="23" spans="1:8" ht="19" x14ac:dyDescent="0.25">
      <c r="A23" s="26" t="s">
        <v>83</v>
      </c>
      <c r="B23" s="27"/>
      <c r="C23" s="27">
        <f>+C21-C22</f>
        <v>-7268.9991435872944</v>
      </c>
      <c r="D23" s="27">
        <f>+D21-D22</f>
        <v>34083.725523347508</v>
      </c>
      <c r="E23" s="27">
        <f>+E21-E22</f>
        <v>70120.313041234709</v>
      </c>
      <c r="F23" s="27">
        <f>+F21-F22</f>
        <v>110704.59663345703</v>
      </c>
      <c r="G23" s="27">
        <f>+G21-G22</f>
        <v>166748.92185777897</v>
      </c>
    </row>
    <row r="24" spans="1:8" x14ac:dyDescent="0.2">
      <c r="A24" t="s">
        <v>239</v>
      </c>
      <c r="B24" s="22"/>
      <c r="C24" s="18"/>
      <c r="D24" s="18"/>
      <c r="E24" s="18"/>
      <c r="F24" s="18"/>
      <c r="G24" s="18"/>
    </row>
    <row r="25" spans="1:8" ht="19" x14ac:dyDescent="0.25">
      <c r="A25" s="28" t="s">
        <v>84</v>
      </c>
      <c r="B25" s="29">
        <f>-(SUM(B5:B6))</f>
        <v>-55290</v>
      </c>
      <c r="C25" s="29">
        <f>+C23+C20</f>
        <v>2139.0008564127056</v>
      </c>
      <c r="D25" s="29">
        <f t="shared" ref="D25:G25" si="2">+D23+D20</f>
        <v>43491.725523347508</v>
      </c>
      <c r="E25" s="29">
        <f t="shared" si="2"/>
        <v>79528.313041234709</v>
      </c>
      <c r="F25" s="29">
        <f t="shared" si="2"/>
        <v>120112.59663345703</v>
      </c>
      <c r="G25" s="29">
        <f t="shared" si="2"/>
        <v>176156.92185777897</v>
      </c>
    </row>
    <row r="26" spans="1:8" x14ac:dyDescent="0.2">
      <c r="A26" s="30"/>
      <c r="B26" s="31"/>
      <c r="C26" s="32"/>
      <c r="D26" s="32"/>
      <c r="E26" s="32"/>
      <c r="F26" s="32"/>
      <c r="G26" s="32"/>
    </row>
    <row r="28" spans="1:8" x14ac:dyDescent="0.2">
      <c r="A28" t="s">
        <v>85</v>
      </c>
      <c r="B28" t="s">
        <v>79</v>
      </c>
      <c r="C28" t="s">
        <v>29</v>
      </c>
      <c r="D28" t="s">
        <v>15</v>
      </c>
      <c r="E28" t="s">
        <v>16</v>
      </c>
      <c r="F28" t="s">
        <v>17</v>
      </c>
      <c r="G28" t="s">
        <v>18</v>
      </c>
    </row>
    <row r="29" spans="1:8" x14ac:dyDescent="0.2">
      <c r="A29" t="s">
        <v>86</v>
      </c>
      <c r="B29"/>
      <c r="C29" s="21">
        <f>+C18/C13</f>
        <v>2.5696018937594444E-2</v>
      </c>
      <c r="D29" s="21">
        <f>+D18/D13</f>
        <v>0.26441404222013637</v>
      </c>
      <c r="E29" s="21">
        <f>+E18/E13</f>
        <v>0.36322673446329673</v>
      </c>
      <c r="F29" s="21">
        <f>+F18/F13</f>
        <v>0.42687845429225729</v>
      </c>
      <c r="G29" s="21">
        <f>+G18/G13</f>
        <v>0.50103352246503652</v>
      </c>
    </row>
    <row r="30" spans="1:8" x14ac:dyDescent="0.2">
      <c r="A30" s="36" t="s">
        <v>87</v>
      </c>
      <c r="B30" s="33"/>
      <c r="C30" s="52">
        <f>+C21+C20</f>
        <v>2139.0008564127056</v>
      </c>
      <c r="D30" s="52">
        <f>+D21+D20</f>
        <v>58099.03646192501</v>
      </c>
      <c r="E30" s="52">
        <f>+E21+E20</f>
        <v>109579.87577319244</v>
      </c>
      <c r="F30" s="52">
        <f>+F21+F20</f>
        <v>167557.42376208145</v>
      </c>
      <c r="G30" s="52">
        <f>+G21+G20</f>
        <v>247620.74551111282</v>
      </c>
    </row>
    <row r="31" spans="1:8" x14ac:dyDescent="0.2">
      <c r="A31" t="s">
        <v>88</v>
      </c>
      <c r="B31"/>
      <c r="C31" s="21">
        <f>+C23/C13</f>
        <v>-8.7323171980506278E-2</v>
      </c>
      <c r="D31" s="21">
        <f>+D23/D13</f>
        <v>0.15511816009988513</v>
      </c>
      <c r="E31" s="21">
        <f>+E23/E13</f>
        <v>0.23242928636119758</v>
      </c>
      <c r="F31" s="21">
        <f>+F23/F13</f>
        <v>0.28203708336456529</v>
      </c>
      <c r="G31" s="21">
        <f>+G23/G13</f>
        <v>0.33739822369568256</v>
      </c>
    </row>
    <row r="32" spans="1:8" x14ac:dyDescent="0.2">
      <c r="A32" t="s">
        <v>89</v>
      </c>
      <c r="B32"/>
      <c r="C32" s="21">
        <f>+C23/-$B$25</f>
        <v>-0.13147041315947358</v>
      </c>
      <c r="D32" s="21">
        <f>+D23/-$B$25</f>
        <v>0.61645370814518918</v>
      </c>
      <c r="E32" s="21">
        <f>+E23/-$B$25</f>
        <v>1.2682277634515231</v>
      </c>
      <c r="F32" s="21">
        <f>+F23/-$B$25</f>
        <v>2.0022535111856943</v>
      </c>
      <c r="G32" s="21">
        <f>+G23/-$B$25</f>
        <v>3.0158965790880625</v>
      </c>
    </row>
    <row r="34" spans="1:4" x14ac:dyDescent="0.2">
      <c r="A34" t="s">
        <v>90</v>
      </c>
      <c r="B34" t="s">
        <v>91</v>
      </c>
    </row>
    <row r="35" spans="1:4" x14ac:dyDescent="0.2">
      <c r="A35" s="37" t="s">
        <v>92</v>
      </c>
      <c r="B35" s="53">
        <f>IRR(B25:G25,B36)</f>
        <v>0.7357351979365252</v>
      </c>
    </row>
    <row r="36" spans="1:4" x14ac:dyDescent="0.2">
      <c r="A36" s="37" t="s">
        <v>93</v>
      </c>
      <c r="B36" s="38">
        <v>0.1</v>
      </c>
    </row>
    <row r="37" spans="1:4" x14ac:dyDescent="0.2">
      <c r="A37" s="39" t="s">
        <v>94</v>
      </c>
      <c r="B37" s="95">
        <f>+NPV(B36,C25:G25)+B25</f>
        <v>233767.02836984862</v>
      </c>
    </row>
    <row r="40" spans="1:4" x14ac:dyDescent="0.2">
      <c r="D40" s="13"/>
    </row>
  </sheetData>
  <mergeCells count="1">
    <mergeCell ref="I8:K12"/>
  </mergeCells>
  <phoneticPr fontId="12" type="noConversion"/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9DB1-82F8-7D40-873E-833605927047}">
  <dimension ref="A2:J43"/>
  <sheetViews>
    <sheetView workbookViewId="0">
      <selection activeCell="C18" sqref="C18"/>
    </sheetView>
  </sheetViews>
  <sheetFormatPr baseColWidth="10" defaultRowHeight="16" x14ac:dyDescent="0.2"/>
  <cols>
    <col min="1" max="1" width="31" style="11" bestFit="1" customWidth="1"/>
    <col min="2" max="7" width="20.6640625" style="11" customWidth="1"/>
    <col min="8" max="16384" width="10.83203125" style="11"/>
  </cols>
  <sheetData>
    <row r="2" spans="1:10" x14ac:dyDescent="0.2">
      <c r="A2" t="s">
        <v>78</v>
      </c>
      <c r="B2" s="15" t="s">
        <v>79</v>
      </c>
      <c r="C2" s="15" t="s">
        <v>29</v>
      </c>
      <c r="D2" s="15" t="s">
        <v>15</v>
      </c>
      <c r="E2" s="15" t="s">
        <v>16</v>
      </c>
      <c r="F2" s="15" t="s">
        <v>17</v>
      </c>
      <c r="G2" s="15" t="s">
        <v>18</v>
      </c>
    </row>
    <row r="3" spans="1:10" x14ac:dyDescent="0.2">
      <c r="A3" s="16" t="s">
        <v>238</v>
      </c>
      <c r="B3"/>
      <c r="C3"/>
      <c r="D3"/>
      <c r="E3"/>
      <c r="F3"/>
      <c r="G3"/>
    </row>
    <row r="4" spans="1:10" x14ac:dyDescent="0.2">
      <c r="A4" t="str">
        <f>+'Inversión y Gastos'!B6</f>
        <v>Inversión en Activos</v>
      </c>
      <c r="B4" s="17">
        <f>+'Inversión y Gastos'!P9</f>
        <v>47040</v>
      </c>
      <c r="C4" s="18"/>
      <c r="D4" s="18"/>
      <c r="E4" s="18"/>
      <c r="F4" s="18"/>
      <c r="G4" s="18"/>
    </row>
    <row r="5" spans="1:10" x14ac:dyDescent="0.2">
      <c r="A5" t="str">
        <f>+'Inversión y Gastos'!B10</f>
        <v>Costos Administrativos y Operativos</v>
      </c>
      <c r="B5" s="17">
        <f>+'Inversión y Gastos'!P14</f>
        <v>8250</v>
      </c>
      <c r="C5" s="18"/>
      <c r="D5" s="18"/>
      <c r="E5" s="18"/>
      <c r="F5" s="18"/>
      <c r="G5" s="18"/>
    </row>
    <row r="6" spans="1:10" x14ac:dyDescent="0.2">
      <c r="A6"/>
      <c r="B6" s="94"/>
      <c r="C6" s="18"/>
      <c r="D6" s="18"/>
      <c r="E6" s="18"/>
      <c r="F6" s="18"/>
      <c r="G6" s="18"/>
    </row>
    <row r="7" spans="1:10" x14ac:dyDescent="0.2">
      <c r="A7" t="str">
        <f>+'Inversión y Gastos'!B15</f>
        <v>Capital de trabajo  requerido</v>
      </c>
      <c r="B7" s="97">
        <f>+'Inversión y Gastos'!P19</f>
        <v>303000</v>
      </c>
      <c r="C7" s="97"/>
      <c r="D7" s="97">
        <f>+'Inversión y Gastos'!AD19</f>
        <v>304169.61283031409</v>
      </c>
      <c r="E7" s="97">
        <f>+'Inversión y Gastos'!AQ19</f>
        <v>180929.75862333272</v>
      </c>
      <c r="F7" s="97">
        <f>+'Inversión y Gastos'!BD19</f>
        <v>236193.06615709583</v>
      </c>
      <c r="G7" s="97">
        <f>'Inversión y Gastos'!BQ19-Table31585[[#This Row],[Año 0]]-Table31585[[#This Row],[Año 2]]-Table31585[[#This Row],[Año 3]]-Table31585[[#This Row],[Año 4]]-'Inversión y Gastos'!BQ19</f>
        <v>-1024292.4376107426</v>
      </c>
      <c r="I7" s="100" t="s">
        <v>241</v>
      </c>
      <c r="J7" s="100"/>
    </row>
    <row r="8" spans="1:10" x14ac:dyDescent="0.2">
      <c r="A8"/>
      <c r="B8" s="17"/>
      <c r="C8" s="18"/>
      <c r="D8" s="18"/>
      <c r="E8" s="18"/>
      <c r="F8" s="18"/>
      <c r="G8" s="18"/>
      <c r="I8" s="100"/>
      <c r="J8" s="100"/>
    </row>
    <row r="9" spans="1:10" x14ac:dyDescent="0.2">
      <c r="A9" s="16" t="s">
        <v>80</v>
      </c>
      <c r="B9" s="19"/>
      <c r="C9" s="18"/>
      <c r="D9" s="18"/>
      <c r="E9" s="18"/>
      <c r="F9" s="18"/>
      <c r="G9" s="18"/>
      <c r="I9" s="100"/>
      <c r="J9" s="100"/>
    </row>
    <row r="10" spans="1:10" x14ac:dyDescent="0.2">
      <c r="A10" t="str">
        <f>+'Estado de Resultados'!B6</f>
        <v xml:space="preserve">Ingresos financieros </v>
      </c>
      <c r="B10" s="35"/>
      <c r="C10" s="35">
        <f>+'Estado de Resultados'!D6</f>
        <v>83242.5</v>
      </c>
      <c r="D10" s="35">
        <f>+'Estado de Resultados'!E6</f>
        <v>219727.5</v>
      </c>
      <c r="E10" s="35">
        <f>+'Estado de Resultados'!F6</f>
        <v>301684.5</v>
      </c>
      <c r="F10" s="35">
        <f>+'Estado de Resultados'!G6</f>
        <v>392517.875</v>
      </c>
      <c r="G10" s="35">
        <f>+'Estado de Resultados'!H6</f>
        <v>494219.91624999995</v>
      </c>
      <c r="I10" s="100"/>
      <c r="J10" s="100"/>
    </row>
    <row r="12" spans="1:10" x14ac:dyDescent="0.2">
      <c r="A12" s="40" t="s">
        <v>49</v>
      </c>
      <c r="B12" s="41"/>
      <c r="C12" s="42">
        <f>+C10</f>
        <v>83242.5</v>
      </c>
      <c r="D12" s="42">
        <f t="shared" ref="D12:G12" si="0">+D10</f>
        <v>219727.5</v>
      </c>
      <c r="E12" s="42">
        <f t="shared" si="0"/>
        <v>301684.5</v>
      </c>
      <c r="F12" s="42">
        <f t="shared" si="0"/>
        <v>392517.875</v>
      </c>
      <c r="G12" s="42">
        <f t="shared" si="0"/>
        <v>494219.91624999995</v>
      </c>
    </row>
    <row r="13" spans="1:10" x14ac:dyDescent="0.2">
      <c r="A13" s="20" t="str">
        <f>+'Estado de Resultados'!B7</f>
        <v xml:space="preserve">Gastos financieros </v>
      </c>
      <c r="B13" s="21"/>
      <c r="C13" s="98">
        <f>+'Estado de Resultados'!D7</f>
        <v>24414.278813273188</v>
      </c>
      <c r="D13" s="98">
        <f>+'Estado de Resultados'!E7</f>
        <v>57451.830456796168</v>
      </c>
      <c r="E13" s="98">
        <f>+'Estado de Resultados'!F7</f>
        <v>74877.385029391327</v>
      </c>
      <c r="F13" s="98">
        <f>+'Estado de Resultados'!G7</f>
        <v>96459.31487651504</v>
      </c>
      <c r="G13" s="98">
        <f>+'Estado de Resultados'!H7</f>
        <v>108145.5131375769</v>
      </c>
    </row>
    <row r="14" spans="1:10" x14ac:dyDescent="0.2">
      <c r="A14" s="20" t="str">
        <f>+'Estado de Resultados'!B9</f>
        <v>Gastos de Ventas</v>
      </c>
      <c r="B14" s="22"/>
      <c r="C14" s="18">
        <f>+'Estado de Resultados'!D9</f>
        <v>21969.607499999998</v>
      </c>
      <c r="D14" s="18">
        <f>+'Estado de Resultados'!E9</f>
        <v>23465.871799999997</v>
      </c>
      <c r="E14" s="18">
        <f>+'Estado de Resultados'!F9</f>
        <v>26820.546671999997</v>
      </c>
      <c r="F14" s="18">
        <f>+'Estado de Resultados'!G9</f>
        <v>31400.880538879996</v>
      </c>
      <c r="G14" s="18">
        <f>+'Estado de Resultados'!H9</f>
        <v>34759.422760435191</v>
      </c>
    </row>
    <row r="15" spans="1:10" x14ac:dyDescent="0.2">
      <c r="A15" s="20" t="str">
        <f>+'Estado de Resultados'!B10</f>
        <v>Gastos de Administración</v>
      </c>
      <c r="B15" s="22"/>
      <c r="C15" s="18">
        <f>+'Estado de Resultados'!D10</f>
        <v>30550</v>
      </c>
      <c r="D15" s="18">
        <f>+'Estado de Resultados'!E10</f>
        <v>70723.199999999997</v>
      </c>
      <c r="E15" s="18">
        <f>+'Estado de Resultados'!F10</f>
        <v>76442.880000000005</v>
      </c>
      <c r="F15" s="18">
        <f>+'Estado de Resultados'!G10</f>
        <v>79116.595199999996</v>
      </c>
      <c r="G15" s="18">
        <f>+'Estado de Resultados'!H10</f>
        <v>81897.259008000008</v>
      </c>
    </row>
    <row r="16" spans="1:10" x14ac:dyDescent="0.2">
      <c r="A16" s="20" t="str">
        <f>+'Estado de Resultados'!B11</f>
        <v>Morosidad</v>
      </c>
      <c r="B16" s="22"/>
      <c r="C16" s="18">
        <f>+'Estado de Resultados'!D11</f>
        <v>4169.6128303141077</v>
      </c>
      <c r="D16" s="18">
        <f>+'Estado de Resultados'!E11</f>
        <v>9987.5612812788313</v>
      </c>
      <c r="E16" s="18">
        <f>+'Estado de Resultados'!F11</f>
        <v>13963.812525416262</v>
      </c>
      <c r="F16" s="18">
        <f>+'Estado de Resultados'!G11</f>
        <v>17983.660622523515</v>
      </c>
      <c r="G16" s="18">
        <f>+'Estado de Resultados'!H11</f>
        <v>21796.975832874996</v>
      </c>
      <c r="H16" s="13"/>
    </row>
    <row r="17" spans="1:9" x14ac:dyDescent="0.2">
      <c r="A17" s="23" t="s">
        <v>81</v>
      </c>
      <c r="B17" s="24"/>
      <c r="C17" s="99">
        <f>+C12-C14-C15-C16</f>
        <v>26553.279669685893</v>
      </c>
      <c r="D17" s="99">
        <f t="shared" ref="D17:G17" si="1">+D12-D14-D15-D16</f>
        <v>115550.86691872118</v>
      </c>
      <c r="E17" s="99">
        <f t="shared" si="1"/>
        <v>184457.26080258377</v>
      </c>
      <c r="F17" s="99">
        <f t="shared" si="1"/>
        <v>264016.73863859649</v>
      </c>
      <c r="G17" s="99">
        <f t="shared" si="1"/>
        <v>355766.25864868972</v>
      </c>
      <c r="I17" s="11" t="s">
        <v>87</v>
      </c>
    </row>
    <row r="18" spans="1:9" x14ac:dyDescent="0.2">
      <c r="A18" s="20" t="str">
        <f>+'Estado de Resultados'!B13</f>
        <v>Depreciación</v>
      </c>
      <c r="B18" s="22">
        <v>3.6999999999999998E-2</v>
      </c>
      <c r="C18" s="18">
        <f>+'Estado de Resultados'!D13</f>
        <v>0</v>
      </c>
      <c r="D18" s="18">
        <f>+'Estado de Resultados'!E13</f>
        <v>0</v>
      </c>
      <c r="E18" s="18">
        <f>+'Estado de Resultados'!F13</f>
        <v>0</v>
      </c>
      <c r="F18" s="18">
        <f>+'Estado de Resultados'!G13</f>
        <v>0</v>
      </c>
      <c r="G18" s="18">
        <f>+'Estado de Resultados'!H13</f>
        <v>0</v>
      </c>
    </row>
    <row r="19" spans="1:9" x14ac:dyDescent="0.2">
      <c r="A19" s="20" t="str">
        <f>+'Estado de Resultados'!B14</f>
        <v>Amortización</v>
      </c>
      <c r="B19" s="22">
        <v>0.05</v>
      </c>
      <c r="C19" s="18">
        <f>+'Estado de Resultados'!D14</f>
        <v>9408</v>
      </c>
      <c r="D19" s="18">
        <f>+'Estado de Resultados'!E14</f>
        <v>9408</v>
      </c>
      <c r="E19" s="18">
        <f>+'Estado de Resultados'!F14</f>
        <v>9408</v>
      </c>
      <c r="F19" s="18">
        <f>+'Estado de Resultados'!G14</f>
        <v>9408</v>
      </c>
      <c r="G19" s="18">
        <f>+'Estado de Resultados'!H14</f>
        <v>9408</v>
      </c>
    </row>
    <row r="20" spans="1:9" x14ac:dyDescent="0.2">
      <c r="A20" s="23" t="s">
        <v>82</v>
      </c>
      <c r="B20" s="24"/>
      <c r="C20" s="25">
        <f>+C17-(SUM(C18:C19))</f>
        <v>17145.279669685893</v>
      </c>
      <c r="D20" s="25">
        <f>+D17-(SUM(D18:D19))</f>
        <v>106142.86691872118</v>
      </c>
      <c r="E20" s="25">
        <f>+E17-(SUM(E18:E19))</f>
        <v>175049.26080258377</v>
      </c>
      <c r="F20" s="25">
        <f>+F17-(SUM(F18:F19))</f>
        <v>254608.73863859649</v>
      </c>
      <c r="G20" s="25">
        <f>+G17-(SUM(G18:G19))</f>
        <v>346358.25864868972</v>
      </c>
    </row>
    <row r="21" spans="1:9" x14ac:dyDescent="0.2">
      <c r="A21" t="s">
        <v>154</v>
      </c>
      <c r="B21" s="22">
        <v>0.3</v>
      </c>
      <c r="C21" s="18">
        <f>+C20*B21</f>
        <v>5143.5839009057681</v>
      </c>
      <c r="D21" s="18">
        <f>+D20*$B$21</f>
        <v>31842.860075616351</v>
      </c>
      <c r="E21" s="18">
        <f>+E20*$B$21</f>
        <v>52514.778240775129</v>
      </c>
      <c r="F21" s="18">
        <f>+F20*$B$21</f>
        <v>76382.621591578951</v>
      </c>
      <c r="G21" s="18">
        <f>+G20*$B$21</f>
        <v>103907.47759460691</v>
      </c>
    </row>
    <row r="22" spans="1:9" ht="19" x14ac:dyDescent="0.25">
      <c r="A22" s="26" t="s">
        <v>83</v>
      </c>
      <c r="B22" s="27"/>
      <c r="C22" s="27">
        <f>+C20-C21</f>
        <v>12001.695768780126</v>
      </c>
      <c r="D22" s="27">
        <f>+D20-D21</f>
        <v>74300.006843104828</v>
      </c>
      <c r="E22" s="27">
        <f>+E20-E21</f>
        <v>122534.48256180863</v>
      </c>
      <c r="F22" s="27">
        <f>+F20-F21</f>
        <v>178226.11704701756</v>
      </c>
      <c r="G22" s="27">
        <f>+G20-G21</f>
        <v>242450.78105408279</v>
      </c>
    </row>
    <row r="23" spans="1:9" x14ac:dyDescent="0.2">
      <c r="A23" t="s">
        <v>239</v>
      </c>
      <c r="B23" s="22"/>
      <c r="C23" s="18"/>
      <c r="D23" s="18"/>
      <c r="E23" s="18"/>
      <c r="F23" s="18"/>
      <c r="G23" s="18"/>
    </row>
    <row r="24" spans="1:9" ht="19" x14ac:dyDescent="0.25">
      <c r="A24" s="28" t="s">
        <v>84</v>
      </c>
      <c r="B24" s="29">
        <f>-(SUM(B4:B8))</f>
        <v>-358290</v>
      </c>
      <c r="C24" s="29">
        <f>+C22+C19-C7</f>
        <v>21409.695768780126</v>
      </c>
      <c r="D24" s="29">
        <f>+D22+D19-D7</f>
        <v>-220461.60598720924</v>
      </c>
      <c r="E24" s="29">
        <f>+E22+E19-E7</f>
        <v>-48987.276061524084</v>
      </c>
      <c r="F24" s="29">
        <f>+F22+F19-F7</f>
        <v>-48558.949110078276</v>
      </c>
      <c r="G24" s="29">
        <f>+G22+G19-G7</f>
        <v>1276151.2186648254</v>
      </c>
    </row>
    <row r="25" spans="1:9" x14ac:dyDescent="0.2">
      <c r="A25" s="30"/>
      <c r="B25" s="31"/>
      <c r="C25" s="32"/>
      <c r="D25" s="32"/>
      <c r="E25" s="32"/>
      <c r="F25" s="32"/>
      <c r="G25" s="32"/>
    </row>
    <row r="27" spans="1:9" x14ac:dyDescent="0.2">
      <c r="A27" t="s">
        <v>85</v>
      </c>
      <c r="B27" t="s">
        <v>79</v>
      </c>
      <c r="C27" t="s">
        <v>29</v>
      </c>
      <c r="D27" t="s">
        <v>15</v>
      </c>
      <c r="E27" t="s">
        <v>16</v>
      </c>
      <c r="F27" t="s">
        <v>17</v>
      </c>
      <c r="G27" t="s">
        <v>18</v>
      </c>
    </row>
    <row r="28" spans="1:9" x14ac:dyDescent="0.2">
      <c r="A28" t="s">
        <v>86</v>
      </c>
      <c r="B28"/>
      <c r="C28" s="21">
        <f>+C17/C12</f>
        <v>0.31898705192282661</v>
      </c>
      <c r="D28" s="21">
        <f>+D17/D12</f>
        <v>0.52588259056659348</v>
      </c>
      <c r="E28" s="21">
        <f>+E17/E12</f>
        <v>0.61142438806960175</v>
      </c>
      <c r="F28" s="21">
        <f>+F17/F12</f>
        <v>0.67262347896537578</v>
      </c>
      <c r="G28" s="21">
        <f>+G17/G12</f>
        <v>0.7198541518685504</v>
      </c>
    </row>
    <row r="29" spans="1:9" x14ac:dyDescent="0.2">
      <c r="A29" s="36" t="s">
        <v>87</v>
      </c>
      <c r="B29" s="33"/>
      <c r="C29" s="52">
        <f>+C20+C19</f>
        <v>26553.279669685893</v>
      </c>
      <c r="D29" s="52">
        <f>+D20+D19</f>
        <v>115550.86691872118</v>
      </c>
      <c r="E29" s="52">
        <f>+E20+E19</f>
        <v>184457.26080258377</v>
      </c>
      <c r="F29" s="52">
        <f>+F20+F19</f>
        <v>264016.73863859649</v>
      </c>
      <c r="G29" s="52">
        <f>+G20+G19</f>
        <v>355766.25864868972</v>
      </c>
    </row>
    <row r="30" spans="1:9" x14ac:dyDescent="0.2">
      <c r="A30" t="s">
        <v>88</v>
      </c>
      <c r="B30"/>
      <c r="C30" s="21">
        <f>+C22/C12</f>
        <v>0.14417750270330812</v>
      </c>
      <c r="D30" s="21">
        <f>+D22/D12</f>
        <v>0.33814614394240516</v>
      </c>
      <c r="E30" s="21">
        <f>+E22/E12</f>
        <v>0.40616764388561105</v>
      </c>
      <c r="F30" s="21">
        <f>+F22/F12</f>
        <v>0.45405860063574827</v>
      </c>
      <c r="G30" s="21">
        <f>+G22/G12</f>
        <v>0.49057266427814222</v>
      </c>
    </row>
    <row r="31" spans="1:9" x14ac:dyDescent="0.2">
      <c r="A31" t="s">
        <v>89</v>
      </c>
      <c r="B31"/>
      <c r="C31" s="21">
        <f>+C22/-$B$24</f>
        <v>3.3497155289793537E-2</v>
      </c>
      <c r="D31" s="21">
        <f>+D22/-$B$24</f>
        <v>0.20737393408441437</v>
      </c>
      <c r="E31" s="21">
        <f>+E22/-$B$24</f>
        <v>0.34199805342546158</v>
      </c>
      <c r="F31" s="21">
        <f>+F22/-$B$24</f>
        <v>0.49743536533818289</v>
      </c>
      <c r="G31" s="21">
        <f>+G22/-$B$24</f>
        <v>0.67668866296598507</v>
      </c>
    </row>
    <row r="33" spans="1:6" x14ac:dyDescent="0.2">
      <c r="A33" s="37" t="s">
        <v>90</v>
      </c>
      <c r="B33" s="34" t="s">
        <v>91</v>
      </c>
    </row>
    <row r="34" spans="1:6" x14ac:dyDescent="0.2">
      <c r="A34" s="37" t="s">
        <v>92</v>
      </c>
      <c r="B34" s="53">
        <f>IRR(B24:G24,B35)</f>
        <v>0.18231103882210564</v>
      </c>
    </row>
    <row r="35" spans="1:6" x14ac:dyDescent="0.2">
      <c r="A35" s="37" t="s">
        <v>93</v>
      </c>
      <c r="B35" s="38">
        <v>0.1</v>
      </c>
    </row>
    <row r="36" spans="1:6" x14ac:dyDescent="0.2">
      <c r="A36" s="39" t="s">
        <v>94</v>
      </c>
      <c r="B36" s="95">
        <f>+NPV(B35,C24:G24)+B24</f>
        <v>201391.90735567606</v>
      </c>
    </row>
    <row r="41" spans="1:6" x14ac:dyDescent="0.2">
      <c r="F41" s="11">
        <f>1200000*0.02*12</f>
        <v>288000</v>
      </c>
    </row>
    <row r="42" spans="1:6" x14ac:dyDescent="0.2">
      <c r="F42" s="11">
        <v>1200000</v>
      </c>
    </row>
    <row r="43" spans="1:6" x14ac:dyDescent="0.2">
      <c r="F43" s="11">
        <f>+F41/F42</f>
        <v>0.24</v>
      </c>
    </row>
  </sheetData>
  <mergeCells count="1">
    <mergeCell ref="I7:J10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577AF-1DD2-2344-ACC0-FF7934CF42B1}">
  <dimension ref="B3:M15"/>
  <sheetViews>
    <sheetView workbookViewId="0">
      <selection activeCell="D7" sqref="D7"/>
    </sheetView>
  </sheetViews>
  <sheetFormatPr baseColWidth="10" defaultRowHeight="16" x14ac:dyDescent="0.2"/>
  <cols>
    <col min="2" max="2" width="25.33203125" customWidth="1"/>
    <col min="3" max="13" width="12.5" customWidth="1"/>
  </cols>
  <sheetData>
    <row r="3" spans="2:13" ht="34" customHeight="1" x14ac:dyDescent="0.2">
      <c r="B3" s="101" t="s">
        <v>38</v>
      </c>
      <c r="C3" s="101" t="s">
        <v>30</v>
      </c>
      <c r="D3" s="101" t="s">
        <v>31</v>
      </c>
      <c r="E3" s="101" t="s">
        <v>32</v>
      </c>
      <c r="F3" s="101" t="s">
        <v>33</v>
      </c>
      <c r="G3" s="101" t="s">
        <v>15</v>
      </c>
      <c r="H3" s="101" t="s">
        <v>34</v>
      </c>
      <c r="I3" s="101" t="s">
        <v>16</v>
      </c>
      <c r="J3" s="101" t="s">
        <v>35</v>
      </c>
      <c r="K3" s="101" t="s">
        <v>17</v>
      </c>
      <c r="L3" s="101" t="s">
        <v>36</v>
      </c>
      <c r="M3" s="101" t="s">
        <v>18</v>
      </c>
    </row>
    <row r="4" spans="2:13" x14ac:dyDescent="0.2">
      <c r="B4" t="s">
        <v>240</v>
      </c>
      <c r="C4" s="4">
        <v>1200</v>
      </c>
      <c r="D4" s="3">
        <v>0.5</v>
      </c>
      <c r="E4" s="4">
        <f>+C4*D4</f>
        <v>600</v>
      </c>
      <c r="F4" s="3">
        <v>0.5</v>
      </c>
      <c r="G4" s="4">
        <f>+$C$4*(1+$C$11)*F4</f>
        <v>624</v>
      </c>
      <c r="H4" s="3">
        <v>0.5</v>
      </c>
      <c r="I4" s="4">
        <f>+$C$4*(1+$C$11)^2*H4</f>
        <v>648.96</v>
      </c>
      <c r="J4" s="3">
        <v>0.5</v>
      </c>
      <c r="K4" s="4">
        <f>+$C$4*(1+$C$11)^3*J4</f>
        <v>674.91840000000002</v>
      </c>
      <c r="L4" s="3">
        <v>0.5</v>
      </c>
      <c r="M4" s="4">
        <f>+$C$4*(1+$C$11)^4*L4</f>
        <v>701.91513600000008</v>
      </c>
    </row>
    <row r="5" spans="2:13" x14ac:dyDescent="0.2">
      <c r="B5" t="s">
        <v>24</v>
      </c>
      <c r="C5" s="4">
        <v>1100</v>
      </c>
      <c r="D5" s="3">
        <v>1</v>
      </c>
      <c r="E5" s="4">
        <f>+C5*D5</f>
        <v>1100</v>
      </c>
      <c r="F5" s="3">
        <v>1</v>
      </c>
      <c r="G5" s="4">
        <f>+$C$4*(1+$C$11)*F5</f>
        <v>1248</v>
      </c>
      <c r="H5" s="3">
        <v>1</v>
      </c>
      <c r="I5" s="4">
        <f>+$C$4*(1+$C$11)^2*H5</f>
        <v>1297.92</v>
      </c>
      <c r="J5" s="3">
        <v>1</v>
      </c>
      <c r="K5" s="4">
        <f>+$C$4*(1+$C$11)^3*J5</f>
        <v>1349.8368</v>
      </c>
      <c r="L5" s="3">
        <v>1</v>
      </c>
      <c r="M5" s="4">
        <f>+$C$4*(1+$C$11)^4*L5</f>
        <v>1403.8302720000002</v>
      </c>
    </row>
    <row r="6" spans="2:13" x14ac:dyDescent="0.2">
      <c r="B6" t="s">
        <v>27</v>
      </c>
      <c r="C6" s="4">
        <v>800</v>
      </c>
      <c r="D6" s="3">
        <v>0.2</v>
      </c>
      <c r="E6" s="4">
        <f>+C6*D6</f>
        <v>160</v>
      </c>
      <c r="F6" s="3">
        <v>0.2</v>
      </c>
      <c r="G6" s="4">
        <f>+$C$4*(1+$C$11)*F6</f>
        <v>249.60000000000002</v>
      </c>
      <c r="H6" s="3">
        <v>0.25</v>
      </c>
      <c r="I6" s="4">
        <f>+$C$4*(1+$C$11)^2*H6</f>
        <v>324.48</v>
      </c>
      <c r="J6" s="3">
        <v>0.25</v>
      </c>
      <c r="K6" s="4">
        <f>+$C$4*(1+$C$11)^3*J6</f>
        <v>337.45920000000001</v>
      </c>
      <c r="L6" s="3">
        <v>0.25</v>
      </c>
      <c r="M6" s="4">
        <f>+$C$4*(1+$C$11)^4*L6</f>
        <v>350.95756800000004</v>
      </c>
    </row>
    <row r="7" spans="2:13" x14ac:dyDescent="0.2">
      <c r="B7" t="s">
        <v>25</v>
      </c>
      <c r="C7" s="4">
        <v>1250</v>
      </c>
      <c r="D7" s="3">
        <v>1</v>
      </c>
      <c r="E7" s="4">
        <f>+C7*D7</f>
        <v>1250</v>
      </c>
      <c r="F7" s="3">
        <v>1</v>
      </c>
      <c r="G7" s="4">
        <f>+$C$4*(1+$C$11)*F7</f>
        <v>1248</v>
      </c>
      <c r="H7" s="3">
        <v>1</v>
      </c>
      <c r="I7" s="4">
        <f>+$C$4*(1+$C$11)^2*H7</f>
        <v>1297.92</v>
      </c>
      <c r="J7" s="3">
        <v>1</v>
      </c>
      <c r="K7" s="4">
        <f>+$C$4*(1+$C$11)^3*J7</f>
        <v>1349.8368</v>
      </c>
      <c r="L7" s="3">
        <v>1</v>
      </c>
      <c r="M7" s="4">
        <f>+$C$4*(1+$C$11)^4*L7</f>
        <v>1403.8302720000002</v>
      </c>
    </row>
    <row r="8" spans="2:13" x14ac:dyDescent="0.2">
      <c r="B8" t="s">
        <v>26</v>
      </c>
      <c r="C8" s="4">
        <v>1000</v>
      </c>
      <c r="D8" s="3">
        <v>0</v>
      </c>
      <c r="E8" s="4">
        <f>+C8*D8</f>
        <v>0</v>
      </c>
      <c r="F8" s="3">
        <v>0</v>
      </c>
      <c r="G8" s="4">
        <f>+$C$4*(1+$C$11)*F8</f>
        <v>0</v>
      </c>
      <c r="H8" s="3">
        <v>0</v>
      </c>
      <c r="I8" s="4">
        <f>+$C$4*(1+$C$11)^2*H8</f>
        <v>0</v>
      </c>
      <c r="J8" s="3">
        <v>0</v>
      </c>
      <c r="K8" s="4">
        <f>+$C$4*(1+$C$11)^3*J8</f>
        <v>0</v>
      </c>
      <c r="L8" s="3">
        <v>0</v>
      </c>
      <c r="M8" s="4">
        <f>+$C$4*(1+$C$11)^4*L8</f>
        <v>0</v>
      </c>
    </row>
    <row r="9" spans="2:13" x14ac:dyDescent="0.2">
      <c r="B9" s="5" t="s">
        <v>28</v>
      </c>
      <c r="C9" s="6">
        <f t="shared" ref="C9:M9" si="0">+SUM(C4:C8)</f>
        <v>5350</v>
      </c>
      <c r="D9" s="5">
        <f t="shared" si="0"/>
        <v>2.7</v>
      </c>
      <c r="E9" s="6">
        <f t="shared" si="0"/>
        <v>3110</v>
      </c>
      <c r="F9" s="5">
        <f t="shared" si="0"/>
        <v>2.7</v>
      </c>
      <c r="G9" s="6">
        <f t="shared" si="0"/>
        <v>3369.6</v>
      </c>
      <c r="H9" s="5">
        <f t="shared" si="0"/>
        <v>2.75</v>
      </c>
      <c r="I9" s="6">
        <f>+SUM(I4:I8)</f>
        <v>3569.28</v>
      </c>
      <c r="J9" s="5">
        <f t="shared" si="0"/>
        <v>2.75</v>
      </c>
      <c r="K9" s="6">
        <f t="shared" si="0"/>
        <v>3712.0511999999999</v>
      </c>
      <c r="L9" s="5">
        <f t="shared" si="0"/>
        <v>2.75</v>
      </c>
      <c r="M9" s="6">
        <f t="shared" si="0"/>
        <v>3860.5332480000006</v>
      </c>
    </row>
    <row r="10" spans="2:13" x14ac:dyDescent="0.2">
      <c r="C10" s="4">
        <f>+C9*3</f>
        <v>16050</v>
      </c>
      <c r="D10" s="3"/>
      <c r="E10" s="4">
        <f>+E9*12</f>
        <v>37320</v>
      </c>
      <c r="F10" s="3"/>
      <c r="G10" s="4">
        <f>+G9*12</f>
        <v>40435.199999999997</v>
      </c>
      <c r="H10" s="3"/>
      <c r="I10" s="4">
        <f>+I9*12</f>
        <v>42831.360000000001</v>
      </c>
      <c r="J10" s="3"/>
      <c r="K10" s="4">
        <f>+K9*12</f>
        <v>44544.614399999999</v>
      </c>
      <c r="L10" s="3"/>
      <c r="M10" s="4">
        <f>+M9*12</f>
        <v>46326.398976000011</v>
      </c>
    </row>
    <row r="11" spans="2:13" x14ac:dyDescent="0.2">
      <c r="B11" t="s">
        <v>37</v>
      </c>
      <c r="C11" s="10">
        <v>0.04</v>
      </c>
    </row>
    <row r="15" spans="2:13" x14ac:dyDescent="0.2">
      <c r="C15" s="4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6981-192A-D54E-BD34-5BB65D8C7C67}">
  <dimension ref="B4:G8"/>
  <sheetViews>
    <sheetView workbookViewId="0">
      <selection activeCell="G8" sqref="B4:G8"/>
    </sheetView>
  </sheetViews>
  <sheetFormatPr baseColWidth="10" defaultRowHeight="16" x14ac:dyDescent="0.2"/>
  <cols>
    <col min="2" max="2" width="31.83203125" bestFit="1" customWidth="1"/>
    <col min="3" max="7" width="11.33203125" bestFit="1" customWidth="1"/>
  </cols>
  <sheetData>
    <row r="4" spans="2:7" x14ac:dyDescent="0.2">
      <c r="B4" s="102" t="s">
        <v>242</v>
      </c>
      <c r="C4" s="103" t="s">
        <v>29</v>
      </c>
      <c r="D4" s="103" t="s">
        <v>15</v>
      </c>
      <c r="E4" s="104" t="s">
        <v>16</v>
      </c>
      <c r="F4" s="103" t="s">
        <v>17</v>
      </c>
      <c r="G4" s="103" t="s">
        <v>18</v>
      </c>
    </row>
    <row r="5" spans="2:7" x14ac:dyDescent="0.2">
      <c r="B5" s="45" t="s">
        <v>96</v>
      </c>
      <c r="C5" s="46">
        <f>1000*12</f>
        <v>12000</v>
      </c>
      <c r="D5" s="46">
        <f>+C5*1.15</f>
        <v>13799.999999999998</v>
      </c>
      <c r="E5" s="46">
        <f t="shared" ref="E5:G5" si="0">+D5*1.15</f>
        <v>15869.999999999996</v>
      </c>
      <c r="F5" s="46">
        <f t="shared" si="0"/>
        <v>18250.499999999993</v>
      </c>
      <c r="G5" s="46">
        <f t="shared" si="0"/>
        <v>20988.07499999999</v>
      </c>
    </row>
    <row r="6" spans="2:7" x14ac:dyDescent="0.2">
      <c r="B6" s="45" t="s">
        <v>97</v>
      </c>
      <c r="C6" s="46">
        <v>150</v>
      </c>
      <c r="D6" s="46">
        <f t="shared" ref="D5:E7" si="1">+C6*1.04</f>
        <v>156</v>
      </c>
      <c r="E6" s="47">
        <f t="shared" si="1"/>
        <v>162.24</v>
      </c>
      <c r="F6" s="47">
        <f t="shared" ref="F6:G6" si="2">+E6*1.04</f>
        <v>168.7296</v>
      </c>
      <c r="G6" s="47">
        <f t="shared" si="2"/>
        <v>175.47878400000002</v>
      </c>
    </row>
    <row r="7" spans="2:7" x14ac:dyDescent="0.2">
      <c r="B7" s="45" t="s">
        <v>98</v>
      </c>
      <c r="C7" s="46">
        <v>500</v>
      </c>
      <c r="D7" s="46">
        <f t="shared" si="1"/>
        <v>520</v>
      </c>
      <c r="E7" s="47">
        <f t="shared" si="1"/>
        <v>540.80000000000007</v>
      </c>
      <c r="F7" s="47">
        <f t="shared" ref="F7:G7" si="3">+E7*1.04</f>
        <v>562.43200000000013</v>
      </c>
      <c r="G7" s="47">
        <f t="shared" si="3"/>
        <v>584.92928000000018</v>
      </c>
    </row>
    <row r="8" spans="2:7" x14ac:dyDescent="0.2">
      <c r="B8" s="64" t="s">
        <v>28</v>
      </c>
      <c r="C8" s="65">
        <f>+SUM(C5:C7)</f>
        <v>12650</v>
      </c>
      <c r="D8" s="65">
        <f>+SUM(D5:D7)</f>
        <v>14475.999999999998</v>
      </c>
      <c r="E8" s="66">
        <f>+SUM(E5:E7)</f>
        <v>16573.039999999997</v>
      </c>
      <c r="F8" s="66">
        <f t="shared" ref="F8:G8" si="4">+SUM(F5:F7)</f>
        <v>18981.661599999992</v>
      </c>
      <c r="G8" s="66">
        <f t="shared" si="4"/>
        <v>21748.483063999989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7D387-FC47-274D-B986-0128DC92041B}">
  <dimension ref="B4:V27"/>
  <sheetViews>
    <sheetView workbookViewId="0">
      <selection activeCell="F33" sqref="F33"/>
    </sheetView>
  </sheetViews>
  <sheetFormatPr baseColWidth="10" defaultRowHeight="16" x14ac:dyDescent="0.2"/>
  <cols>
    <col min="1" max="2" width="10.83203125" style="11"/>
    <col min="3" max="3" width="71.1640625" style="11" customWidth="1"/>
    <col min="4" max="10" width="8" style="11" bestFit="1" customWidth="1"/>
    <col min="11" max="12" width="7" style="11" bestFit="1" customWidth="1"/>
    <col min="13" max="22" width="7.33203125" style="11" bestFit="1" customWidth="1"/>
    <col min="23" max="16384" width="10.83203125" style="11"/>
  </cols>
  <sheetData>
    <row r="4" spans="2:22" x14ac:dyDescent="0.2">
      <c r="B4" s="11" t="s">
        <v>103</v>
      </c>
    </row>
    <row r="5" spans="2:22" x14ac:dyDescent="0.2">
      <c r="D5" s="54" t="s">
        <v>111</v>
      </c>
      <c r="E5" s="54" t="s">
        <v>112</v>
      </c>
      <c r="F5" s="54" t="s">
        <v>113</v>
      </c>
      <c r="G5" s="54" t="s">
        <v>114</v>
      </c>
      <c r="H5" s="54" t="s">
        <v>115</v>
      </c>
      <c r="I5" s="54" t="s">
        <v>116</v>
      </c>
      <c r="J5" s="54" t="s">
        <v>117</v>
      </c>
      <c r="K5" s="54" t="s">
        <v>118</v>
      </c>
      <c r="L5" s="54" t="s">
        <v>119</v>
      </c>
      <c r="M5" s="54" t="s">
        <v>120</v>
      </c>
      <c r="N5" s="54" t="s">
        <v>121</v>
      </c>
      <c r="O5" s="54" t="s">
        <v>122</v>
      </c>
      <c r="P5" s="54" t="s">
        <v>123</v>
      </c>
      <c r="Q5" s="54" t="s">
        <v>124</v>
      </c>
      <c r="R5" s="54" t="s">
        <v>125</v>
      </c>
      <c r="S5" s="54" t="s">
        <v>126</v>
      </c>
      <c r="T5" s="54" t="s">
        <v>127</v>
      </c>
      <c r="U5" s="54" t="s">
        <v>128</v>
      </c>
      <c r="V5" s="54" t="s">
        <v>129</v>
      </c>
    </row>
    <row r="6" spans="2:22" ht="35" customHeight="1" x14ac:dyDescent="0.2">
      <c r="C6" s="60" t="s">
        <v>104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2:22" ht="35" customHeight="1" x14ac:dyDescent="0.2">
      <c r="C7" s="61" t="s">
        <v>105</v>
      </c>
      <c r="D7" s="56"/>
      <c r="E7" s="56"/>
      <c r="F7" s="57"/>
      <c r="G7" s="57"/>
      <c r="H7" s="57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2:22" ht="35" customHeight="1" x14ac:dyDescent="0.2">
      <c r="C8" s="61" t="s">
        <v>106</v>
      </c>
      <c r="D8" s="56"/>
      <c r="E8" s="56"/>
      <c r="F8" s="56"/>
      <c r="G8" s="56"/>
      <c r="H8" s="56"/>
      <c r="I8" s="57"/>
      <c r="J8" s="57"/>
      <c r="K8" s="57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2:22" ht="35" customHeight="1" x14ac:dyDescent="0.2">
      <c r="C9" s="61" t="s">
        <v>107</v>
      </c>
      <c r="D9" s="56"/>
      <c r="E9" s="56"/>
      <c r="F9" s="56"/>
      <c r="G9" s="56"/>
      <c r="H9" s="56"/>
      <c r="I9" s="56"/>
      <c r="J9" s="56"/>
      <c r="K9" s="56"/>
      <c r="L9" s="57"/>
      <c r="M9" s="57"/>
      <c r="N9" s="57"/>
      <c r="O9" s="56"/>
      <c r="P9" s="56"/>
      <c r="Q9" s="56"/>
      <c r="R9" s="56"/>
      <c r="S9" s="56"/>
      <c r="T9" s="56"/>
      <c r="U9" s="56"/>
      <c r="V9" s="56"/>
    </row>
    <row r="10" spans="2:22" ht="35" customHeight="1" x14ac:dyDescent="0.2">
      <c r="C10" s="61" t="s">
        <v>108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57"/>
      <c r="Q10" s="57"/>
      <c r="R10" s="56"/>
      <c r="S10" s="56"/>
      <c r="T10" s="56"/>
      <c r="U10" s="56"/>
      <c r="V10" s="56"/>
    </row>
    <row r="11" spans="2:22" ht="35" customHeight="1" x14ac:dyDescent="0.2">
      <c r="C11" s="61" t="s">
        <v>109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7"/>
      <c r="S11" s="57"/>
      <c r="T11" s="57"/>
      <c r="U11" s="56"/>
      <c r="V11" s="56"/>
    </row>
    <row r="12" spans="2:22" ht="35" customHeight="1" x14ac:dyDescent="0.2">
      <c r="C12" s="62" t="s">
        <v>110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9"/>
      <c r="V12" s="58"/>
    </row>
    <row r="18" spans="2:22" x14ac:dyDescent="0.2">
      <c r="B18" s="11" t="s">
        <v>130</v>
      </c>
    </row>
    <row r="20" spans="2:22" x14ac:dyDescent="0.2">
      <c r="D20" s="54" t="s">
        <v>145</v>
      </c>
      <c r="E20" s="54" t="s">
        <v>146</v>
      </c>
      <c r="F20" s="54" t="s">
        <v>147</v>
      </c>
      <c r="G20" s="54" t="s">
        <v>148</v>
      </c>
      <c r="H20" s="54" t="s">
        <v>149</v>
      </c>
      <c r="I20" s="54" t="s">
        <v>150</v>
      </c>
      <c r="J20" s="54" t="s">
        <v>151</v>
      </c>
      <c r="K20" s="54" t="s">
        <v>152</v>
      </c>
      <c r="L20" s="54" t="s">
        <v>153</v>
      </c>
      <c r="M20" s="54" t="s">
        <v>138</v>
      </c>
      <c r="N20" s="54" t="s">
        <v>139</v>
      </c>
      <c r="O20" s="54" t="s">
        <v>140</v>
      </c>
      <c r="P20" s="54" t="s">
        <v>141</v>
      </c>
      <c r="Q20" s="54" t="s">
        <v>142</v>
      </c>
      <c r="R20" s="54" t="s">
        <v>143</v>
      </c>
      <c r="S20" s="54" t="s">
        <v>137</v>
      </c>
      <c r="T20" s="54" t="s">
        <v>144</v>
      </c>
      <c r="U20" s="54" t="s">
        <v>111</v>
      </c>
      <c r="V20" s="54" t="s">
        <v>112</v>
      </c>
    </row>
    <row r="21" spans="2:22" ht="35" customHeight="1" x14ac:dyDescent="0.2">
      <c r="C21" s="60" t="s">
        <v>131</v>
      </c>
      <c r="D21" s="55"/>
      <c r="E21" s="55"/>
      <c r="F21" s="63"/>
      <c r="G21" s="63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2:22" ht="35" customHeight="1" x14ac:dyDescent="0.2">
      <c r="C22" s="61" t="s">
        <v>132</v>
      </c>
      <c r="D22" s="57"/>
      <c r="E22" s="57"/>
      <c r="F22" s="57"/>
      <c r="G22" s="57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2:22" ht="35" customHeight="1" x14ac:dyDescent="0.2">
      <c r="C23" s="61" t="s">
        <v>133</v>
      </c>
      <c r="D23" s="56"/>
      <c r="E23" s="56"/>
      <c r="F23" s="56"/>
      <c r="G23" s="56"/>
      <c r="H23" s="57"/>
      <c r="I23" s="57"/>
      <c r="J23" s="57"/>
      <c r="K23" s="57"/>
      <c r="L23" s="57"/>
      <c r="M23" s="57"/>
      <c r="N23" s="57"/>
      <c r="O23" s="57"/>
      <c r="P23" s="56"/>
      <c r="Q23" s="56"/>
      <c r="R23" s="56"/>
      <c r="S23" s="56"/>
      <c r="T23" s="56"/>
      <c r="U23" s="56"/>
      <c r="V23" s="56"/>
    </row>
    <row r="24" spans="2:22" ht="35" customHeight="1" x14ac:dyDescent="0.2">
      <c r="C24" s="61" t="s">
        <v>134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6"/>
      <c r="S24" s="56"/>
      <c r="T24" s="56"/>
      <c r="U24" s="56"/>
      <c r="V24" s="56"/>
    </row>
    <row r="25" spans="2:22" ht="35" customHeight="1" x14ac:dyDescent="0.2">
      <c r="C25" s="61" t="s">
        <v>135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6"/>
      <c r="S25" s="56"/>
      <c r="T25" s="56"/>
      <c r="U25" s="56"/>
      <c r="V25" s="56"/>
    </row>
    <row r="26" spans="2:22" ht="35" customHeight="1" x14ac:dyDescent="0.2">
      <c r="C26" s="61" t="s">
        <v>136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7"/>
      <c r="R26" s="57"/>
      <c r="S26" s="57"/>
      <c r="T26" s="57"/>
      <c r="U26" s="56"/>
      <c r="V26" s="56"/>
    </row>
    <row r="27" spans="2:22" ht="19" x14ac:dyDescent="0.2">
      <c r="C27" s="62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Inversión y Gastos</vt:lpstr>
      <vt:lpstr>Estado de Resultados</vt:lpstr>
      <vt:lpstr>Cash Flow</vt:lpstr>
      <vt:lpstr>Cash Flow v2</vt:lpstr>
      <vt:lpstr>Equipo Tecnología</vt:lpstr>
      <vt:lpstr>Gastos Marketing</vt:lpstr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Puga Nougues Horacio Jose</dc:creator>
  <cp:lastModifiedBy>Puga Nougues Horacio Jose</cp:lastModifiedBy>
  <dcterms:created xsi:type="dcterms:W3CDTF">2018-09-23T19:45:59Z</dcterms:created>
  <dcterms:modified xsi:type="dcterms:W3CDTF">2020-10-28T05:15:41Z</dcterms:modified>
</cp:coreProperties>
</file>