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614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agustinkluz/Desktop/Trabajo Final 2020/Para entregar/"/>
    </mc:Choice>
  </mc:AlternateContent>
  <xr:revisionPtr revIDLastSave="0" documentId="13_ncr:1_{813BBA91-32F9-1241-8F35-55DF9F5CF8F2}" xr6:coauthVersionLast="45" xr6:coauthVersionMax="45" xr10:uidLastSave="{00000000-0000-0000-0000-000000000000}"/>
  <bookViews>
    <workbookView xWindow="13880" yWindow="460" windowWidth="24520" windowHeight="18080" activeTab="3" xr2:uid="{00000000-000D-0000-FFFF-FFFF00000000}"/>
  </bookViews>
  <sheets>
    <sheet name="MCCA" sheetId="4" r:id="rId1"/>
    <sheet name="Resid - Datos" sheetId="3" r:id="rId2"/>
    <sheet name="Resid - BCase Base CF" sheetId="2" r:id="rId3"/>
    <sheet name="EECC Resid" sheetId="5" r:id="rId4"/>
  </sheets>
  <externalReferences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1000_mts.">#REF!</definedName>
    <definedName name="_600_mts.">#REF!</definedName>
    <definedName name="_800_mts">#REF!</definedName>
    <definedName name="ANTICIPOS">#REF!</definedName>
    <definedName name="asig._Costo">#REF!</definedName>
    <definedName name="aum._costos">[1]Data!$B$74</definedName>
    <definedName name="avance_obra">#REF!</definedName>
    <definedName name="BalanceCierre">#REF!</definedName>
    <definedName name="BalanceInicio">#REF!</definedName>
    <definedName name="base_IVA">#REF!</definedName>
    <definedName name="calif_riesgo">[2]datos!$B$78</definedName>
    <definedName name="CargaCierre">#REF!</definedName>
    <definedName name="CargaInicio">#REF!</definedName>
    <definedName name="Cash_flow_directo">[3]Modelo!$B$117</definedName>
    <definedName name="ClasifAmeric">#REF!</definedName>
    <definedName name="ClasifAmeric1">[4]Controles!$B$47:$B$52</definedName>
    <definedName name="Clasificacion">#REF!</definedName>
    <definedName name="ClasifRT9">#REF!</definedName>
    <definedName name="comision_lotes">[2]datos!$B$85</definedName>
    <definedName name="comision_vivienda_y_condominio">[2]datos!$B$86</definedName>
    <definedName name="COMISIONES">#REF!</definedName>
    <definedName name="condominios_por_mes">[2]datos!$B$68</definedName>
    <definedName name="Correcciones">#REF!</definedName>
    <definedName name="Costo___mt.">#REF!</definedName>
    <definedName name="costo_Adm_Cart">#REF!</definedName>
    <definedName name="costo_Arr.">#REF!</definedName>
    <definedName name="Costo_Chapto_no_v">#REF!</definedName>
    <definedName name="Costo_Chapto_v">#REF!</definedName>
    <definedName name="costo_mt._Cond">#REF!</definedName>
    <definedName name="Cuentas">#REF!</definedName>
    <definedName name="CuentasElim">[4]Asientos!$A$10:$A$107</definedName>
    <definedName name="cuentasExp">#REF!</definedName>
    <definedName name="ElimDebe">[4]Asientos!$B$10:$B$107</definedName>
    <definedName name="ElimHaber">[4]Asientos!$C$10:$C$107</definedName>
    <definedName name="emision">#REF!</definedName>
    <definedName name="Errores">[4]Controles!$G$20:$G$41</definedName>
    <definedName name="Exposicion">#REF!</definedName>
    <definedName name="fdasjf">#REF!</definedName>
    <definedName name="Fin_de_obra">#REF!</definedName>
    <definedName name="GIL">#REF!</definedName>
    <definedName name="gs._Fondo">[2]datos!$B$77</definedName>
    <definedName name="Gs._Func._Fideicom.">[2]datos!$B$76</definedName>
    <definedName name="ImprimirComparativo">#REF!</definedName>
    <definedName name="ImprimirExposicion">#REF!</definedName>
    <definedName name="Inc._Precio_vta_lote">[2]datos!$B$72</definedName>
    <definedName name="Ingresos_Brutos">#REF!</definedName>
    <definedName name="Intereses_Coloc.Temporaria_Exedentes_Financieros">#REF!</definedName>
    <definedName name="Intereses_TDF">#REF!</definedName>
    <definedName name="Intereses_TDS">#REF!</definedName>
    <definedName name="jj">[5]Controles!$B$47:$B$52</definedName>
    <definedName name="jjjjj">'[5]RT 19'!#REF!</definedName>
    <definedName name="LimiteInferiorExp">#REF!</definedName>
    <definedName name="lote_más_vivienda">[2]datos!$B$64</definedName>
    <definedName name="meses_cond">[2]datos!$B$74</definedName>
    <definedName name="meses_obra">[2]datos!$B$73</definedName>
    <definedName name="Meses_transcurr">[2]datos!$B$71</definedName>
    <definedName name="mts2_condominio">[2]datos!$B$27</definedName>
    <definedName name="Mts2._Cubiertos">[2]datos!$B$25</definedName>
    <definedName name="precio_vta_mt2_cub">#REF!</definedName>
    <definedName name="_xlnm.Print_Area" localSheetId="3">'EECC Resid'!$A$1:$H$71</definedName>
    <definedName name="_xlnm.Print_Area" localSheetId="0">MCCA!$A$1:$R$70</definedName>
    <definedName name="_xlnm.Print_Area" localSheetId="2">'Resid - BCase Base CF'!$A$256:$L$287</definedName>
    <definedName name="_xlnm.Print_Area" localSheetId="1">'Resid - Datos'!$A$1:$Q$62</definedName>
    <definedName name="QUINCENAS">#REF!</definedName>
    <definedName name="relación_viv_total">#REF!</definedName>
    <definedName name="ResEjercicio">#REF!</definedName>
    <definedName name="RETENCION">#REF!</definedName>
    <definedName name="rrr">'[6]RT 19'!#REF!</definedName>
    <definedName name="rubros">#REF!</definedName>
    <definedName name="sss">[6]Asientos!$B$10:$B$107</definedName>
    <definedName name="tasas_y_contrib">#REF!</definedName>
    <definedName name="tempor">'[4]RT 19'!#REF!</definedName>
    <definedName name="temporal">'[4]RT 19'!#REF!</definedName>
    <definedName name="TotalActivoCierre">#REF!</definedName>
    <definedName name="TotalActivoInicio">#REF!</definedName>
    <definedName name="unid._Condominio">#REF!</definedName>
    <definedName name="Unidades">#REF!</definedName>
    <definedName name="V.A._Terrenos">#REF!</definedName>
    <definedName name="VarBsUso">#REF!</definedName>
    <definedName name="Variaciones">#REF!</definedName>
    <definedName name="VarIntangibles">#REF!</definedName>
    <definedName name="VarInversiones">#REF!</definedName>
    <definedName name="viviendas_por_mes">[2]Presup!$B$32</definedName>
    <definedName name="Vta_casa">[2]Presup!$A$31</definedName>
    <definedName name="vta_condomi">[2]Presup!$B$31</definedName>
    <definedName name="xxx">'[4]RT 19'!#REF!</definedName>
  </definedNames>
  <calcPr calcId="191029" iterate="1" iterateCount="100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35" i="5" l="1"/>
  <c r="E35" i="5"/>
  <c r="F35" i="5"/>
  <c r="G35" i="5"/>
  <c r="H35" i="5"/>
  <c r="H39" i="5"/>
  <c r="G39" i="5"/>
  <c r="F39" i="5"/>
  <c r="F53" i="5" s="1"/>
  <c r="G53" i="5" s="1"/>
  <c r="E39" i="5"/>
  <c r="D39" i="5"/>
  <c r="C129" i="3"/>
  <c r="C63" i="5"/>
  <c r="E10" i="5"/>
  <c r="F10" i="5"/>
  <c r="D10" i="5"/>
  <c r="C68" i="5"/>
  <c r="C55" i="5"/>
  <c r="C71" i="5" s="1"/>
  <c r="H45" i="5"/>
  <c r="I5" i="5"/>
  <c r="I10" i="5" s="1"/>
  <c r="B150" i="2"/>
  <c r="H53" i="5" l="1"/>
  <c r="I12" i="5" l="1"/>
  <c r="I18" i="5" s="1"/>
  <c r="J12" i="5"/>
  <c r="J18" i="5" s="1"/>
  <c r="K12" i="5"/>
  <c r="K18" i="5" s="1"/>
  <c r="L12" i="5"/>
  <c r="L18" i="5" s="1"/>
  <c r="M12" i="5"/>
  <c r="M18" i="5" s="1"/>
  <c r="D120" i="2"/>
  <c r="D119" i="2"/>
  <c r="I20" i="5" l="1"/>
  <c r="J5" i="5"/>
  <c r="J10" i="5" s="1"/>
  <c r="J20" i="5" s="1"/>
  <c r="K5" i="5"/>
  <c r="K10" i="5" s="1"/>
  <c r="K20" i="5" s="1"/>
  <c r="L5" i="5"/>
  <c r="L10" i="5" s="1"/>
  <c r="L20" i="5" s="1"/>
  <c r="M5" i="5"/>
  <c r="M10" i="5" s="1"/>
  <c r="M20" i="5" s="1"/>
  <c r="M32" i="5" l="1"/>
  <c r="M24" i="5"/>
  <c r="M28" i="5" s="1"/>
  <c r="L32" i="5"/>
  <c r="L24" i="5"/>
  <c r="L28" i="5" s="1"/>
  <c r="K32" i="5"/>
  <c r="K24" i="5"/>
  <c r="K28" i="5" s="1"/>
  <c r="J32" i="5"/>
  <c r="J24" i="5"/>
  <c r="J28" i="5" s="1"/>
  <c r="I32" i="5"/>
  <c r="I24" i="5"/>
  <c r="I28" i="5" s="1"/>
  <c r="I88" i="3"/>
  <c r="J88" i="3"/>
  <c r="H88" i="3"/>
  <c r="R82" i="3"/>
  <c r="R81" i="3"/>
  <c r="R80" i="3"/>
  <c r="R79" i="3"/>
  <c r="O81" i="3"/>
  <c r="O82" i="3"/>
  <c r="O80" i="3"/>
  <c r="O79" i="3"/>
  <c r="R70" i="3"/>
  <c r="R69" i="3"/>
  <c r="R76" i="3"/>
  <c r="R75" i="3"/>
  <c r="R74" i="3"/>
  <c r="A56" i="2" l="1"/>
  <c r="C27" i="2"/>
  <c r="E38" i="3"/>
  <c r="F27" i="3" s="1"/>
  <c r="E25" i="4"/>
  <c r="E9" i="3" s="1"/>
  <c r="E5" i="3"/>
  <c r="H69" i="3" s="1"/>
  <c r="J69" i="3" s="1"/>
  <c r="L69" i="3" s="1"/>
  <c r="D30" i="4"/>
  <c r="F30" i="3" s="1"/>
  <c r="D31" i="4"/>
  <c r="F31" i="3" s="1"/>
  <c r="D32" i="4"/>
  <c r="F32" i="3" s="1"/>
  <c r="D29" i="4"/>
  <c r="F29" i="3" s="1"/>
  <c r="B33" i="4"/>
  <c r="C18" i="4"/>
  <c r="C22" i="4" s="1"/>
  <c r="E32" i="3" l="1"/>
  <c r="F22" i="4"/>
  <c r="E29" i="3"/>
  <c r="C25" i="4"/>
  <c r="E31" i="3"/>
  <c r="E30" i="3"/>
  <c r="E8" i="3"/>
  <c r="E25" i="3"/>
  <c r="E28" i="3"/>
  <c r="E27" i="3"/>
  <c r="E26" i="3"/>
  <c r="F25" i="3"/>
  <c r="F26" i="3"/>
  <c r="D33" i="4"/>
  <c r="E56" i="2"/>
  <c r="W56" i="2" l="1"/>
  <c r="X56" i="2"/>
  <c r="P56" i="2"/>
  <c r="G56" i="2"/>
  <c r="AH56" i="2"/>
  <c r="BM56" i="2"/>
  <c r="AB56" i="2"/>
  <c r="R56" i="2"/>
  <c r="AW56" i="2"/>
  <c r="AX56" i="2"/>
  <c r="BC56" i="2"/>
  <c r="AM56" i="2"/>
  <c r="BN56" i="2"/>
  <c r="BL56" i="2"/>
  <c r="AG56" i="2"/>
  <c r="BP56" i="2"/>
  <c r="BO56" i="2"/>
  <c r="AY56" i="2"/>
  <c r="AI56" i="2"/>
  <c r="S56" i="2"/>
  <c r="BH56" i="2"/>
  <c r="T56" i="2"/>
  <c r="BJ56" i="2"/>
  <c r="AT56" i="2"/>
  <c r="AD56" i="2"/>
  <c r="N56" i="2"/>
  <c r="BD56" i="2"/>
  <c r="H56" i="2"/>
  <c r="BI56" i="2"/>
  <c r="AS56" i="2"/>
  <c r="AC56" i="2"/>
  <c r="M56" i="2"/>
  <c r="AZ56" i="2"/>
  <c r="BK56" i="2"/>
  <c r="AU56" i="2"/>
  <c r="AE56" i="2"/>
  <c r="O56" i="2"/>
  <c r="AV56" i="2"/>
  <c r="L56" i="2"/>
  <c r="BF56" i="2"/>
  <c r="AP56" i="2"/>
  <c r="Z56" i="2"/>
  <c r="J56" i="2"/>
  <c r="AR56" i="2"/>
  <c r="M69" i="3"/>
  <c r="BE56" i="2"/>
  <c r="AO56" i="2"/>
  <c r="Y56" i="2"/>
  <c r="I56" i="2"/>
  <c r="Q56" i="2"/>
  <c r="AJ56" i="2"/>
  <c r="BG56" i="2"/>
  <c r="AQ56" i="2"/>
  <c r="AA56" i="2"/>
  <c r="K56" i="2"/>
  <c r="AN56" i="2"/>
  <c r="D56" i="2"/>
  <c r="BB56" i="2"/>
  <c r="AL56" i="2"/>
  <c r="V56" i="2"/>
  <c r="F56" i="2"/>
  <c r="AF56" i="2"/>
  <c r="BQ56" i="2"/>
  <c r="BA56" i="2"/>
  <c r="AK56" i="2"/>
  <c r="U56" i="2"/>
  <c r="M56" i="3"/>
  <c r="B82" i="2"/>
  <c r="E206" i="2"/>
  <c r="F206" i="2"/>
  <c r="G206" i="2"/>
  <c r="H206" i="2"/>
  <c r="I206" i="2"/>
  <c r="J206" i="2"/>
  <c r="A205" i="2"/>
  <c r="A204" i="2"/>
  <c r="A186" i="2"/>
  <c r="A185" i="2"/>
  <c r="K23" i="2"/>
  <c r="L23" i="2"/>
  <c r="M23" i="2"/>
  <c r="N23" i="2"/>
  <c r="O23" i="2"/>
  <c r="P23" i="2"/>
  <c r="Q23" i="2"/>
  <c r="R23" i="2"/>
  <c r="S23" i="2"/>
  <c r="T23" i="2"/>
  <c r="U23" i="2"/>
  <c r="V23" i="2"/>
  <c r="W23" i="2"/>
  <c r="X23" i="2"/>
  <c r="Y23" i="2"/>
  <c r="Z23" i="2"/>
  <c r="AA23" i="2"/>
  <c r="AB23" i="2"/>
  <c r="AC23" i="2"/>
  <c r="AD23" i="2"/>
  <c r="AE23" i="2"/>
  <c r="AF23" i="2"/>
  <c r="AG23" i="2"/>
  <c r="AH23" i="2"/>
  <c r="AI23" i="2"/>
  <c r="AJ23" i="2"/>
  <c r="AK23" i="2"/>
  <c r="AL23" i="2"/>
  <c r="AM23" i="2"/>
  <c r="AN23" i="2"/>
  <c r="AO23" i="2"/>
  <c r="AP23" i="2"/>
  <c r="AQ23" i="2"/>
  <c r="AR23" i="2"/>
  <c r="AS23" i="2"/>
  <c r="AT23" i="2"/>
  <c r="AU23" i="2"/>
  <c r="B160" i="2"/>
  <c r="B179" i="2" s="1"/>
  <c r="B198" i="2" s="1"/>
  <c r="B169" i="2"/>
  <c r="B188" i="2" s="1"/>
  <c r="A167" i="2"/>
  <c r="A166" i="2"/>
  <c r="B143" i="2"/>
  <c r="B162" i="2" s="1"/>
  <c r="B181" i="2" s="1"/>
  <c r="B200" i="2" s="1"/>
  <c r="B144" i="2"/>
  <c r="B163" i="2" s="1"/>
  <c r="B182" i="2" s="1"/>
  <c r="B201" i="2" s="1"/>
  <c r="B142" i="2"/>
  <c r="B161" i="2" s="1"/>
  <c r="B180" i="2" s="1"/>
  <c r="B199" i="2" s="1"/>
  <c r="B136" i="2"/>
  <c r="B155" i="2" s="1"/>
  <c r="B174" i="2" s="1"/>
  <c r="B193" i="2" s="1"/>
  <c r="B138" i="2"/>
  <c r="B157" i="2" s="1"/>
  <c r="B176" i="2" s="1"/>
  <c r="B195" i="2" s="1"/>
  <c r="B139" i="2"/>
  <c r="B158" i="2" s="1"/>
  <c r="B177" i="2" s="1"/>
  <c r="B196" i="2" s="1"/>
  <c r="B137" i="2"/>
  <c r="B156" i="2" s="1"/>
  <c r="B175" i="2" s="1"/>
  <c r="B194" i="2" s="1"/>
  <c r="B147" i="2"/>
  <c r="B166" i="2" s="1"/>
  <c r="B185" i="2" s="1"/>
  <c r="B204" i="2" s="1"/>
  <c r="B133" i="2"/>
  <c r="B152" i="2" s="1"/>
  <c r="B171" i="2" s="1"/>
  <c r="B190" i="2" s="1"/>
  <c r="B134" i="2"/>
  <c r="B153" i="2" s="1"/>
  <c r="B172" i="2" s="1"/>
  <c r="B191" i="2" s="1"/>
  <c r="B132" i="2"/>
  <c r="B151" i="2" s="1"/>
  <c r="B170" i="2" s="1"/>
  <c r="B189" i="2" s="1"/>
  <c r="E73" i="2"/>
  <c r="F73" i="2"/>
  <c r="G73" i="2"/>
  <c r="H73" i="2"/>
  <c r="I73" i="2"/>
  <c r="J73" i="2"/>
  <c r="K73" i="2"/>
  <c r="L73" i="2"/>
  <c r="M73" i="2"/>
  <c r="N73" i="2"/>
  <c r="O73" i="2"/>
  <c r="P73" i="2"/>
  <c r="Q73" i="2"/>
  <c r="R73" i="2"/>
  <c r="S73" i="2"/>
  <c r="T73" i="2"/>
  <c r="U73" i="2"/>
  <c r="V73" i="2"/>
  <c r="W73" i="2"/>
  <c r="X73" i="2"/>
  <c r="Y73" i="2"/>
  <c r="Z73" i="2"/>
  <c r="AA73" i="2"/>
  <c r="AB73" i="2"/>
  <c r="AC73" i="2"/>
  <c r="AD73" i="2"/>
  <c r="AE73" i="2"/>
  <c r="AF73" i="2"/>
  <c r="AG73" i="2"/>
  <c r="AH73" i="2"/>
  <c r="AI73" i="2"/>
  <c r="AJ73" i="2"/>
  <c r="AK73" i="2"/>
  <c r="AL73" i="2"/>
  <c r="AM73" i="2"/>
  <c r="AN73" i="2"/>
  <c r="AO73" i="2"/>
  <c r="AP73" i="2"/>
  <c r="AQ73" i="2"/>
  <c r="AR73" i="2"/>
  <c r="AS73" i="2"/>
  <c r="AT73" i="2"/>
  <c r="AU73" i="2"/>
  <c r="AV73" i="2"/>
  <c r="AW73" i="2"/>
  <c r="AX73" i="2"/>
  <c r="AY73" i="2"/>
  <c r="AZ73" i="2"/>
  <c r="BA73" i="2"/>
  <c r="BB73" i="2"/>
  <c r="BC73" i="2"/>
  <c r="BD73" i="2"/>
  <c r="BE73" i="2"/>
  <c r="BF73" i="2"/>
  <c r="BG73" i="2"/>
  <c r="BH73" i="2"/>
  <c r="BI73" i="2"/>
  <c r="BJ73" i="2"/>
  <c r="BK73" i="2"/>
  <c r="BL73" i="2"/>
  <c r="BM73" i="2"/>
  <c r="BN73" i="2"/>
  <c r="BO73" i="2"/>
  <c r="BP73" i="2"/>
  <c r="BQ73" i="2"/>
  <c r="D73" i="2"/>
  <c r="A64" i="2"/>
  <c r="A58" i="2"/>
  <c r="A59" i="2"/>
  <c r="A60" i="2"/>
  <c r="A61" i="2"/>
  <c r="A62" i="2"/>
  <c r="A63" i="2"/>
  <c r="C29" i="2"/>
  <c r="C30" i="2"/>
  <c r="C31" i="2"/>
  <c r="C32" i="2"/>
  <c r="C33" i="2"/>
  <c r="C34" i="2"/>
  <c r="C35" i="2"/>
  <c r="A37" i="2"/>
  <c r="A38" i="2"/>
  <c r="A39" i="2"/>
  <c r="A36" i="2"/>
  <c r="J23" i="2"/>
  <c r="B24" i="2"/>
  <c r="B23" i="2"/>
  <c r="B22" i="2"/>
  <c r="D117" i="3"/>
  <c r="A119" i="3"/>
  <c r="E117" i="3"/>
  <c r="H117" i="3" s="1"/>
  <c r="O47" i="3"/>
  <c r="B148" i="2" s="1"/>
  <c r="B167" i="2" s="1"/>
  <c r="B186" i="2" s="1"/>
  <c r="B205" i="2" s="1"/>
  <c r="M34" i="3"/>
  <c r="L34" i="3"/>
  <c r="M79" i="3"/>
  <c r="L7" i="3"/>
  <c r="K6" i="3"/>
  <c r="B73" i="3"/>
  <c r="D73" i="3" s="1"/>
  <c r="E58" i="2" s="1"/>
  <c r="B74" i="3"/>
  <c r="D74" i="3" s="1"/>
  <c r="E59" i="2" s="1"/>
  <c r="B75" i="3"/>
  <c r="D75" i="3" s="1"/>
  <c r="E60" i="2" s="1"/>
  <c r="B72" i="3"/>
  <c r="A73" i="3"/>
  <c r="A122" i="3" s="1"/>
  <c r="A74" i="3"/>
  <c r="A123" i="3" s="1"/>
  <c r="A75" i="3"/>
  <c r="A124" i="3" s="1"/>
  <c r="A72" i="3"/>
  <c r="A121" i="3" s="1"/>
  <c r="C33" i="3"/>
  <c r="K34" i="3" s="1"/>
  <c r="C56" i="2" l="1"/>
  <c r="N34" i="3"/>
  <c r="BL59" i="2"/>
  <c r="L33" i="3"/>
  <c r="AV59" i="2"/>
  <c r="BL60" i="2"/>
  <c r="AV60" i="2"/>
  <c r="AF60" i="2"/>
  <c r="AF59" i="2"/>
  <c r="P60" i="2"/>
  <c r="P59" i="2"/>
  <c r="BH60" i="2"/>
  <c r="AR60" i="2"/>
  <c r="AB60" i="2"/>
  <c r="L60" i="2"/>
  <c r="BD60" i="2"/>
  <c r="AN60" i="2"/>
  <c r="X60" i="2"/>
  <c r="H60" i="2"/>
  <c r="BP60" i="2"/>
  <c r="AZ60" i="2"/>
  <c r="AJ60" i="2"/>
  <c r="T60" i="2"/>
  <c r="BH59" i="2"/>
  <c r="AR59" i="2"/>
  <c r="AB59" i="2"/>
  <c r="L59" i="2"/>
  <c r="D59" i="2"/>
  <c r="BD59" i="2"/>
  <c r="AN59" i="2"/>
  <c r="X59" i="2"/>
  <c r="H59" i="2"/>
  <c r="BP59" i="2"/>
  <c r="AZ59" i="2"/>
  <c r="AJ59" i="2"/>
  <c r="T59" i="2"/>
  <c r="O60" i="2"/>
  <c r="BO60" i="2"/>
  <c r="BG60" i="2"/>
  <c r="AY60" i="2"/>
  <c r="AQ60" i="2"/>
  <c r="AI60" i="2"/>
  <c r="AA60" i="2"/>
  <c r="G60" i="2"/>
  <c r="D60" i="2"/>
  <c r="BN60" i="2"/>
  <c r="BJ60" i="2"/>
  <c r="BF60" i="2"/>
  <c r="BB60" i="2"/>
  <c r="AX60" i="2"/>
  <c r="AT60" i="2"/>
  <c r="AP60" i="2"/>
  <c r="AL60" i="2"/>
  <c r="AH60" i="2"/>
  <c r="AD60" i="2"/>
  <c r="Z60" i="2"/>
  <c r="V60" i="2"/>
  <c r="R60" i="2"/>
  <c r="N60" i="2"/>
  <c r="J60" i="2"/>
  <c r="F60" i="2"/>
  <c r="BK60" i="2"/>
  <c r="BC60" i="2"/>
  <c r="AU60" i="2"/>
  <c r="AM60" i="2"/>
  <c r="AE60" i="2"/>
  <c r="W60" i="2"/>
  <c r="S60" i="2"/>
  <c r="K60" i="2"/>
  <c r="BQ60" i="2"/>
  <c r="BM60" i="2"/>
  <c r="BI60" i="2"/>
  <c r="BE60" i="2"/>
  <c r="BA60" i="2"/>
  <c r="AW60" i="2"/>
  <c r="AS60" i="2"/>
  <c r="AO60" i="2"/>
  <c r="AK60" i="2"/>
  <c r="AG60" i="2"/>
  <c r="AC60" i="2"/>
  <c r="Y60" i="2"/>
  <c r="U60" i="2"/>
  <c r="Q60" i="2"/>
  <c r="M60" i="2"/>
  <c r="I60" i="2"/>
  <c r="BO59" i="2"/>
  <c r="BK59" i="2"/>
  <c r="BG59" i="2"/>
  <c r="BC59" i="2"/>
  <c r="AY59" i="2"/>
  <c r="AU59" i="2"/>
  <c r="AQ59" i="2"/>
  <c r="AM59" i="2"/>
  <c r="AI59" i="2"/>
  <c r="AE59" i="2"/>
  <c r="AA59" i="2"/>
  <c r="W59" i="2"/>
  <c r="S59" i="2"/>
  <c r="O59" i="2"/>
  <c r="K59" i="2"/>
  <c r="G59" i="2"/>
  <c r="BN59" i="2"/>
  <c r="BJ59" i="2"/>
  <c r="BF59" i="2"/>
  <c r="BB59" i="2"/>
  <c r="AX59" i="2"/>
  <c r="AT59" i="2"/>
  <c r="AP59" i="2"/>
  <c r="AL59" i="2"/>
  <c r="AH59" i="2"/>
  <c r="AD59" i="2"/>
  <c r="Z59" i="2"/>
  <c r="V59" i="2"/>
  <c r="R59" i="2"/>
  <c r="N59" i="2"/>
  <c r="J59" i="2"/>
  <c r="F59" i="2"/>
  <c r="BQ59" i="2"/>
  <c r="BM59" i="2"/>
  <c r="BI59" i="2"/>
  <c r="BE59" i="2"/>
  <c r="BA59" i="2"/>
  <c r="AW59" i="2"/>
  <c r="AS59" i="2"/>
  <c r="AO59" i="2"/>
  <c r="AK59" i="2"/>
  <c r="AG59" i="2"/>
  <c r="AC59" i="2"/>
  <c r="Y59" i="2"/>
  <c r="U59" i="2"/>
  <c r="Q59" i="2"/>
  <c r="M59" i="2"/>
  <c r="I59" i="2"/>
  <c r="BL58" i="2"/>
  <c r="AZ58" i="2"/>
  <c r="AN58" i="2"/>
  <c r="X58" i="2"/>
  <c r="H58" i="2"/>
  <c r="BO58" i="2"/>
  <c r="BK58" i="2"/>
  <c r="BG58" i="2"/>
  <c r="BC58" i="2"/>
  <c r="AY58" i="2"/>
  <c r="AU58" i="2"/>
  <c r="AQ58" i="2"/>
  <c r="AM58" i="2"/>
  <c r="AI58" i="2"/>
  <c r="AE58" i="2"/>
  <c r="AA58" i="2"/>
  <c r="W58" i="2"/>
  <c r="S58" i="2"/>
  <c r="O58" i="2"/>
  <c r="K58" i="2"/>
  <c r="G58" i="2"/>
  <c r="BP58" i="2"/>
  <c r="BD58" i="2"/>
  <c r="AR58" i="2"/>
  <c r="AJ58" i="2"/>
  <c r="T58" i="2"/>
  <c r="L58" i="2"/>
  <c r="D58" i="2"/>
  <c r="BN58" i="2"/>
  <c r="BJ58" i="2"/>
  <c r="BF58" i="2"/>
  <c r="BB58" i="2"/>
  <c r="AX58" i="2"/>
  <c r="AT58" i="2"/>
  <c r="AP58" i="2"/>
  <c r="AL58" i="2"/>
  <c r="AH58" i="2"/>
  <c r="AD58" i="2"/>
  <c r="Z58" i="2"/>
  <c r="V58" i="2"/>
  <c r="R58" i="2"/>
  <c r="N58" i="2"/>
  <c r="J58" i="2"/>
  <c r="F58" i="2"/>
  <c r="BH58" i="2"/>
  <c r="AV58" i="2"/>
  <c r="AF58" i="2"/>
  <c r="AB58" i="2"/>
  <c r="P58" i="2"/>
  <c r="BQ58" i="2"/>
  <c r="BM58" i="2"/>
  <c r="BI58" i="2"/>
  <c r="BE58" i="2"/>
  <c r="BA58" i="2"/>
  <c r="AW58" i="2"/>
  <c r="AS58" i="2"/>
  <c r="AO58" i="2"/>
  <c r="AK58" i="2"/>
  <c r="AG58" i="2"/>
  <c r="AC58" i="2"/>
  <c r="Y58" i="2"/>
  <c r="U58" i="2"/>
  <c r="Q58" i="2"/>
  <c r="M58" i="2"/>
  <c r="I58" i="2"/>
  <c r="E125" i="3"/>
  <c r="H125" i="3" s="1"/>
  <c r="E120" i="3"/>
  <c r="H120" i="3" s="1"/>
  <c r="E119" i="3"/>
  <c r="H119" i="3" s="1"/>
  <c r="B76" i="3"/>
  <c r="C76" i="3" s="1"/>
  <c r="D72" i="3"/>
  <c r="D76" i="3" s="1"/>
  <c r="F33" i="3"/>
  <c r="B46" i="3"/>
  <c r="B47" i="3" s="1"/>
  <c r="D9" i="3"/>
  <c r="C58" i="2" l="1"/>
  <c r="C59" i="2"/>
  <c r="C60" i="2"/>
  <c r="H57" i="2"/>
  <c r="L57" i="2"/>
  <c r="P57" i="2"/>
  <c r="T57" i="2"/>
  <c r="X57" i="2"/>
  <c r="AB57" i="2"/>
  <c r="AF57" i="2"/>
  <c r="AJ57" i="2"/>
  <c r="AN57" i="2"/>
  <c r="AR57" i="2"/>
  <c r="AV57" i="2"/>
  <c r="AZ57" i="2"/>
  <c r="BD57" i="2"/>
  <c r="BH57" i="2"/>
  <c r="BL57" i="2"/>
  <c r="BP57" i="2"/>
  <c r="D57" i="2"/>
  <c r="K57" i="2"/>
  <c r="W57" i="2"/>
  <c r="AI57" i="2"/>
  <c r="AQ57" i="2"/>
  <c r="BC57" i="2"/>
  <c r="E57" i="2"/>
  <c r="I57" i="2"/>
  <c r="M57" i="2"/>
  <c r="Q57" i="2"/>
  <c r="U57" i="2"/>
  <c r="Y57" i="2"/>
  <c r="AC57" i="2"/>
  <c r="AG57" i="2"/>
  <c r="AK57" i="2"/>
  <c r="AO57" i="2"/>
  <c r="AS57" i="2"/>
  <c r="AW57" i="2"/>
  <c r="BA57" i="2"/>
  <c r="BE57" i="2"/>
  <c r="BI57" i="2"/>
  <c r="BM57" i="2"/>
  <c r="BQ57" i="2"/>
  <c r="O57" i="2"/>
  <c r="AE57" i="2"/>
  <c r="AU57" i="2"/>
  <c r="BG57" i="2"/>
  <c r="BK57" i="2"/>
  <c r="F57" i="2"/>
  <c r="J57" i="2"/>
  <c r="N57" i="2"/>
  <c r="R57" i="2"/>
  <c r="V57" i="2"/>
  <c r="Z57" i="2"/>
  <c r="AD57" i="2"/>
  <c r="AH57" i="2"/>
  <c r="AL57" i="2"/>
  <c r="AP57" i="2"/>
  <c r="AT57" i="2"/>
  <c r="AX57" i="2"/>
  <c r="BB57" i="2"/>
  <c r="BF57" i="2"/>
  <c r="BJ57" i="2"/>
  <c r="BN57" i="2"/>
  <c r="G57" i="2"/>
  <c r="S57" i="2"/>
  <c r="AA57" i="2"/>
  <c r="AM57" i="2"/>
  <c r="AY57" i="2"/>
  <c r="BO57" i="2"/>
  <c r="D8" i="3"/>
  <c r="E72" i="3"/>
  <c r="G72" i="3" s="1"/>
  <c r="A57" i="2"/>
  <c r="C28" i="2"/>
  <c r="A112" i="3"/>
  <c r="A111" i="3"/>
  <c r="A110" i="3"/>
  <c r="A109" i="3"/>
  <c r="B124" i="3"/>
  <c r="B123" i="3"/>
  <c r="B122" i="3"/>
  <c r="B121" i="3"/>
  <c r="E39" i="3"/>
  <c r="C43" i="3" s="1"/>
  <c r="E61" i="2" l="1"/>
  <c r="I61" i="2"/>
  <c r="M61" i="2"/>
  <c r="Q61" i="2"/>
  <c r="U61" i="2"/>
  <c r="Y61" i="2"/>
  <c r="AC61" i="2"/>
  <c r="AG61" i="2"/>
  <c r="AK61" i="2"/>
  <c r="AO61" i="2"/>
  <c r="AS61" i="2"/>
  <c r="AW61" i="2"/>
  <c r="BA61" i="2"/>
  <c r="BE61" i="2"/>
  <c r="BI61" i="2"/>
  <c r="BM61" i="2"/>
  <c r="BQ61" i="2"/>
  <c r="L61" i="2"/>
  <c r="X61" i="2"/>
  <c r="AF61" i="2"/>
  <c r="AN61" i="2"/>
  <c r="AZ61" i="2"/>
  <c r="BL61" i="2"/>
  <c r="D61" i="2"/>
  <c r="F61" i="2"/>
  <c r="J61" i="2"/>
  <c r="N61" i="2"/>
  <c r="R61" i="2"/>
  <c r="V61" i="2"/>
  <c r="Z61" i="2"/>
  <c r="AD61" i="2"/>
  <c r="AH61" i="2"/>
  <c r="AL61" i="2"/>
  <c r="AP61" i="2"/>
  <c r="AT61" i="2"/>
  <c r="AX61" i="2"/>
  <c r="BB61" i="2"/>
  <c r="BF61" i="2"/>
  <c r="BJ61" i="2"/>
  <c r="BN61" i="2"/>
  <c r="H61" i="2"/>
  <c r="T61" i="2"/>
  <c r="AJ61" i="2"/>
  <c r="AV61" i="2"/>
  <c r="BH61" i="2"/>
  <c r="G61" i="2"/>
  <c r="K61" i="2"/>
  <c r="O61" i="2"/>
  <c r="S61" i="2"/>
  <c r="W61" i="2"/>
  <c r="AA61" i="2"/>
  <c r="AE61" i="2"/>
  <c r="AI61" i="2"/>
  <c r="AM61" i="2"/>
  <c r="AQ61" i="2"/>
  <c r="AU61" i="2"/>
  <c r="AY61" i="2"/>
  <c r="BC61" i="2"/>
  <c r="BG61" i="2"/>
  <c r="BK61" i="2"/>
  <c r="BO61" i="2"/>
  <c r="P61" i="2"/>
  <c r="AB61" i="2"/>
  <c r="AR61" i="2"/>
  <c r="BD61" i="2"/>
  <c r="BP61" i="2"/>
  <c r="C57" i="2"/>
  <c r="F43" i="3"/>
  <c r="E321" i="2"/>
  <c r="D321" i="2"/>
  <c r="E320" i="2"/>
  <c r="F320" i="2"/>
  <c r="G320" i="2"/>
  <c r="H320" i="2"/>
  <c r="I320" i="2"/>
  <c r="J320" i="2"/>
  <c r="K320" i="2"/>
  <c r="L320" i="2"/>
  <c r="M320" i="2"/>
  <c r="N320" i="2"/>
  <c r="O320" i="2"/>
  <c r="P320" i="2"/>
  <c r="Q320" i="2"/>
  <c r="R320" i="2"/>
  <c r="S320" i="2"/>
  <c r="T320" i="2"/>
  <c r="U320" i="2"/>
  <c r="V320" i="2"/>
  <c r="W320" i="2"/>
  <c r="X320" i="2"/>
  <c r="D320" i="2"/>
  <c r="E322" i="2" l="1"/>
  <c r="C61" i="2"/>
  <c r="H72" i="3"/>
  <c r="J72" i="3" s="1"/>
  <c r="E73" i="3"/>
  <c r="G73" i="3" s="1"/>
  <c r="D322" i="2"/>
  <c r="P45" i="2"/>
  <c r="Q45" i="2"/>
  <c r="R45" i="2"/>
  <c r="S45" i="2"/>
  <c r="T45" i="2"/>
  <c r="U45" i="2"/>
  <c r="V45" i="2"/>
  <c r="W45" i="2"/>
  <c r="X45" i="2"/>
  <c r="Y45" i="2"/>
  <c r="Z45" i="2"/>
  <c r="AA45" i="2"/>
  <c r="AB45" i="2"/>
  <c r="AC45" i="2"/>
  <c r="AD45" i="2"/>
  <c r="AE45" i="2"/>
  <c r="AF45" i="2"/>
  <c r="AG45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AT45" i="2"/>
  <c r="AU45" i="2"/>
  <c r="AV45" i="2"/>
  <c r="AW45" i="2"/>
  <c r="AX45" i="2"/>
  <c r="AY45" i="2"/>
  <c r="AZ45" i="2"/>
  <c r="BA45" i="2"/>
  <c r="BB45" i="2"/>
  <c r="BC45" i="2"/>
  <c r="BD45" i="2"/>
  <c r="BE45" i="2"/>
  <c r="BF45" i="2"/>
  <c r="BG45" i="2"/>
  <c r="O45" i="2"/>
  <c r="M44" i="2"/>
  <c r="N44" i="2"/>
  <c r="O44" i="2"/>
  <c r="P44" i="2"/>
  <c r="Q44" i="2"/>
  <c r="R44" i="2"/>
  <c r="S44" i="2"/>
  <c r="T44" i="2"/>
  <c r="U44" i="2"/>
  <c r="V44" i="2"/>
  <c r="W44" i="2"/>
  <c r="X44" i="2"/>
  <c r="Y44" i="2"/>
  <c r="Z44" i="2"/>
  <c r="AA44" i="2"/>
  <c r="AB44" i="2"/>
  <c r="AC44" i="2"/>
  <c r="AD44" i="2"/>
  <c r="AE44" i="2"/>
  <c r="AF44" i="2"/>
  <c r="AG44" i="2"/>
  <c r="AH44" i="2"/>
  <c r="AI44" i="2"/>
  <c r="AJ44" i="2"/>
  <c r="AK44" i="2"/>
  <c r="AL44" i="2"/>
  <c r="AM44" i="2"/>
  <c r="AN44" i="2"/>
  <c r="AO44" i="2"/>
  <c r="AP44" i="2"/>
  <c r="AQ44" i="2"/>
  <c r="AR44" i="2"/>
  <c r="AS44" i="2"/>
  <c r="AT44" i="2"/>
  <c r="AU44" i="2"/>
  <c r="AV44" i="2"/>
  <c r="AW44" i="2"/>
  <c r="AX44" i="2"/>
  <c r="AY44" i="2"/>
  <c r="AZ44" i="2"/>
  <c r="BA44" i="2"/>
  <c r="BB44" i="2"/>
  <c r="BC44" i="2"/>
  <c r="BD44" i="2"/>
  <c r="BE44" i="2"/>
  <c r="BF44" i="2"/>
  <c r="BG44" i="2"/>
  <c r="B19" i="2"/>
  <c r="AT11" i="2"/>
  <c r="AU11" i="2"/>
  <c r="AQ11" i="2"/>
  <c r="AR11" i="2"/>
  <c r="AS11" i="2"/>
  <c r="N32" i="3"/>
  <c r="O32" i="3" s="1"/>
  <c r="Q20" i="3"/>
  <c r="E62" i="2" l="1"/>
  <c r="I62" i="2"/>
  <c r="M62" i="2"/>
  <c r="Q62" i="2"/>
  <c r="U62" i="2"/>
  <c r="Y62" i="2"/>
  <c r="AC62" i="2"/>
  <c r="AG62" i="2"/>
  <c r="AK62" i="2"/>
  <c r="AO62" i="2"/>
  <c r="AS62" i="2"/>
  <c r="AW62" i="2"/>
  <c r="BA62" i="2"/>
  <c r="BE62" i="2"/>
  <c r="BI62" i="2"/>
  <c r="BM62" i="2"/>
  <c r="BQ62" i="2"/>
  <c r="P62" i="2"/>
  <c r="AB62" i="2"/>
  <c r="AR62" i="2"/>
  <c r="BD62" i="2"/>
  <c r="BP62" i="2"/>
  <c r="F62" i="2"/>
  <c r="J62" i="2"/>
  <c r="N62" i="2"/>
  <c r="R62" i="2"/>
  <c r="V62" i="2"/>
  <c r="Z62" i="2"/>
  <c r="AD62" i="2"/>
  <c r="AH62" i="2"/>
  <c r="AL62" i="2"/>
  <c r="AP62" i="2"/>
  <c r="AT62" i="2"/>
  <c r="AX62" i="2"/>
  <c r="BB62" i="2"/>
  <c r="BF62" i="2"/>
  <c r="BJ62" i="2"/>
  <c r="BN62" i="2"/>
  <c r="D62" i="2"/>
  <c r="H62" i="2"/>
  <c r="T62" i="2"/>
  <c r="AF62" i="2"/>
  <c r="AN62" i="2"/>
  <c r="AZ62" i="2"/>
  <c r="BL62" i="2"/>
  <c r="G62" i="2"/>
  <c r="K62" i="2"/>
  <c r="O62" i="2"/>
  <c r="S62" i="2"/>
  <c r="W62" i="2"/>
  <c r="AA62" i="2"/>
  <c r="AE62" i="2"/>
  <c r="AI62" i="2"/>
  <c r="AM62" i="2"/>
  <c r="AQ62" i="2"/>
  <c r="AU62" i="2"/>
  <c r="AY62" i="2"/>
  <c r="BC62" i="2"/>
  <c r="BG62" i="2"/>
  <c r="BK62" i="2"/>
  <c r="BO62" i="2"/>
  <c r="L62" i="2"/>
  <c r="X62" i="2"/>
  <c r="AJ62" i="2"/>
  <c r="AV62" i="2"/>
  <c r="BH62" i="2"/>
  <c r="F65" i="2"/>
  <c r="J65" i="2"/>
  <c r="N65" i="2"/>
  <c r="R65" i="2"/>
  <c r="V65" i="2"/>
  <c r="Z65" i="2"/>
  <c r="AD65" i="2"/>
  <c r="AH65" i="2"/>
  <c r="AL65" i="2"/>
  <c r="AP65" i="2"/>
  <c r="AT65" i="2"/>
  <c r="AX65" i="2"/>
  <c r="BB65" i="2"/>
  <c r="BF65" i="2"/>
  <c r="BJ65" i="2"/>
  <c r="BN65" i="2"/>
  <c r="M65" i="2"/>
  <c r="Q65" i="2"/>
  <c r="AC65" i="2"/>
  <c r="AS65" i="2"/>
  <c r="BE65" i="2"/>
  <c r="BM65" i="2"/>
  <c r="G65" i="2"/>
  <c r="K65" i="2"/>
  <c r="O65" i="2"/>
  <c r="S65" i="2"/>
  <c r="W65" i="2"/>
  <c r="AA65" i="2"/>
  <c r="AE65" i="2"/>
  <c r="AI65" i="2"/>
  <c r="AM65" i="2"/>
  <c r="AQ65" i="2"/>
  <c r="AU65" i="2"/>
  <c r="AY65" i="2"/>
  <c r="BC65" i="2"/>
  <c r="BG65" i="2"/>
  <c r="BK65" i="2"/>
  <c r="BO65" i="2"/>
  <c r="I65" i="2"/>
  <c r="Y65" i="2"/>
  <c r="AK65" i="2"/>
  <c r="AW65" i="2"/>
  <c r="BI65" i="2"/>
  <c r="H65" i="2"/>
  <c r="L65" i="2"/>
  <c r="P65" i="2"/>
  <c r="T65" i="2"/>
  <c r="X65" i="2"/>
  <c r="AB65" i="2"/>
  <c r="AF65" i="2"/>
  <c r="AJ65" i="2"/>
  <c r="AN65" i="2"/>
  <c r="AR65" i="2"/>
  <c r="AV65" i="2"/>
  <c r="AZ65" i="2"/>
  <c r="BD65" i="2"/>
  <c r="BH65" i="2"/>
  <c r="BL65" i="2"/>
  <c r="BP65" i="2"/>
  <c r="D65" i="2"/>
  <c r="E65" i="2"/>
  <c r="U65" i="2"/>
  <c r="AG65" i="2"/>
  <c r="AO65" i="2"/>
  <c r="BA65" i="2"/>
  <c r="BQ65" i="2"/>
  <c r="E75" i="3"/>
  <c r="G75" i="3" s="1"/>
  <c r="E74" i="3"/>
  <c r="G74" i="3" s="1"/>
  <c r="L72" i="3"/>
  <c r="M72" i="3" s="1"/>
  <c r="K72" i="3"/>
  <c r="H73" i="3"/>
  <c r="J73" i="3" s="1"/>
  <c r="O34" i="3"/>
  <c r="AQ12" i="2"/>
  <c r="AU12" i="2"/>
  <c r="AR12" i="2"/>
  <c r="AS12" i="2"/>
  <c r="AT12" i="2"/>
  <c r="J279" i="2"/>
  <c r="K279" i="2"/>
  <c r="L279" i="2"/>
  <c r="M279" i="2"/>
  <c r="N279" i="2"/>
  <c r="O279" i="2"/>
  <c r="P279" i="2"/>
  <c r="Q279" i="2"/>
  <c r="R279" i="2"/>
  <c r="S279" i="2"/>
  <c r="T279" i="2"/>
  <c r="U279" i="2"/>
  <c r="V279" i="2"/>
  <c r="W279" i="2"/>
  <c r="X279" i="2"/>
  <c r="Y279" i="2"/>
  <c r="Z279" i="2"/>
  <c r="AA279" i="2"/>
  <c r="AB279" i="2"/>
  <c r="AC279" i="2"/>
  <c r="AD279" i="2"/>
  <c r="AE279" i="2"/>
  <c r="AF279" i="2"/>
  <c r="AG279" i="2"/>
  <c r="AH279" i="2"/>
  <c r="AI279" i="2"/>
  <c r="AJ279" i="2"/>
  <c r="AK279" i="2"/>
  <c r="AL279" i="2"/>
  <c r="AM279" i="2"/>
  <c r="AN279" i="2"/>
  <c r="AO279" i="2"/>
  <c r="AP279" i="2"/>
  <c r="AQ279" i="2"/>
  <c r="AR279" i="2"/>
  <c r="AS279" i="2"/>
  <c r="AT279" i="2"/>
  <c r="AU279" i="2"/>
  <c r="AV279" i="2"/>
  <c r="AW279" i="2"/>
  <c r="AX279" i="2"/>
  <c r="AY279" i="2"/>
  <c r="AZ279" i="2"/>
  <c r="BA279" i="2"/>
  <c r="BB279" i="2"/>
  <c r="BC279" i="2"/>
  <c r="BD279" i="2"/>
  <c r="BE279" i="2"/>
  <c r="BF279" i="2"/>
  <c r="BG279" i="2"/>
  <c r="BH279" i="2"/>
  <c r="BI279" i="2"/>
  <c r="BJ279" i="2"/>
  <c r="BK279" i="2"/>
  <c r="BL279" i="2"/>
  <c r="BM279" i="2"/>
  <c r="BN279" i="2"/>
  <c r="I279" i="2"/>
  <c r="E64" i="2" l="1"/>
  <c r="I64" i="2"/>
  <c r="M64" i="2"/>
  <c r="Q64" i="2"/>
  <c r="U64" i="2"/>
  <c r="Y64" i="2"/>
  <c r="AC64" i="2"/>
  <c r="AG64" i="2"/>
  <c r="AK64" i="2"/>
  <c r="AO64" i="2"/>
  <c r="AS64" i="2"/>
  <c r="AW64" i="2"/>
  <c r="BA64" i="2"/>
  <c r="BE64" i="2"/>
  <c r="BI64" i="2"/>
  <c r="BM64" i="2"/>
  <c r="BQ64" i="2"/>
  <c r="H64" i="2"/>
  <c r="X64" i="2"/>
  <c r="AN64" i="2"/>
  <c r="AZ64" i="2"/>
  <c r="BH64" i="2"/>
  <c r="F64" i="2"/>
  <c r="J64" i="2"/>
  <c r="N64" i="2"/>
  <c r="R64" i="2"/>
  <c r="V64" i="2"/>
  <c r="Z64" i="2"/>
  <c r="AD64" i="2"/>
  <c r="AH64" i="2"/>
  <c r="AL64" i="2"/>
  <c r="AP64" i="2"/>
  <c r="AT64" i="2"/>
  <c r="AX64" i="2"/>
  <c r="BB64" i="2"/>
  <c r="BF64" i="2"/>
  <c r="BJ64" i="2"/>
  <c r="BN64" i="2"/>
  <c r="D64" i="2"/>
  <c r="L64" i="2"/>
  <c r="T64" i="2"/>
  <c r="AF64" i="2"/>
  <c r="AR64" i="2"/>
  <c r="BD64" i="2"/>
  <c r="BP64" i="2"/>
  <c r="G64" i="2"/>
  <c r="K64" i="2"/>
  <c r="O64" i="2"/>
  <c r="S64" i="2"/>
  <c r="W64" i="2"/>
  <c r="AA64" i="2"/>
  <c r="AE64" i="2"/>
  <c r="AI64" i="2"/>
  <c r="AM64" i="2"/>
  <c r="AQ64" i="2"/>
  <c r="AU64" i="2"/>
  <c r="AY64" i="2"/>
  <c r="BC64" i="2"/>
  <c r="BG64" i="2"/>
  <c r="BK64" i="2"/>
  <c r="BO64" i="2"/>
  <c r="P64" i="2"/>
  <c r="AB64" i="2"/>
  <c r="AJ64" i="2"/>
  <c r="AV64" i="2"/>
  <c r="BL64" i="2"/>
  <c r="E63" i="2"/>
  <c r="I63" i="2"/>
  <c r="M63" i="2"/>
  <c r="Q63" i="2"/>
  <c r="U63" i="2"/>
  <c r="Y63" i="2"/>
  <c r="AC63" i="2"/>
  <c r="AG63" i="2"/>
  <c r="AK63" i="2"/>
  <c r="AO63" i="2"/>
  <c r="AS63" i="2"/>
  <c r="AW63" i="2"/>
  <c r="BA63" i="2"/>
  <c r="BE63" i="2"/>
  <c r="BI63" i="2"/>
  <c r="BM63" i="2"/>
  <c r="BQ63" i="2"/>
  <c r="P63" i="2"/>
  <c r="AF63" i="2"/>
  <c r="AR63" i="2"/>
  <c r="BD63" i="2"/>
  <c r="BP63" i="2"/>
  <c r="F63" i="2"/>
  <c r="J63" i="2"/>
  <c r="N63" i="2"/>
  <c r="R63" i="2"/>
  <c r="V63" i="2"/>
  <c r="Z63" i="2"/>
  <c r="AD63" i="2"/>
  <c r="AH63" i="2"/>
  <c r="AL63" i="2"/>
  <c r="AP63" i="2"/>
  <c r="AT63" i="2"/>
  <c r="AX63" i="2"/>
  <c r="BB63" i="2"/>
  <c r="BF63" i="2"/>
  <c r="BJ63" i="2"/>
  <c r="BN63" i="2"/>
  <c r="H63" i="2"/>
  <c r="X63" i="2"/>
  <c r="AJ63" i="2"/>
  <c r="AV63" i="2"/>
  <c r="BH63" i="2"/>
  <c r="D63" i="2"/>
  <c r="G63" i="2"/>
  <c r="K63" i="2"/>
  <c r="O63" i="2"/>
  <c r="S63" i="2"/>
  <c r="W63" i="2"/>
  <c r="AA63" i="2"/>
  <c r="AE63" i="2"/>
  <c r="AI63" i="2"/>
  <c r="AM63" i="2"/>
  <c r="AQ63" i="2"/>
  <c r="AU63" i="2"/>
  <c r="AY63" i="2"/>
  <c r="BC63" i="2"/>
  <c r="BG63" i="2"/>
  <c r="BK63" i="2"/>
  <c r="BO63" i="2"/>
  <c r="L63" i="2"/>
  <c r="T63" i="2"/>
  <c r="AB63" i="2"/>
  <c r="AN63" i="2"/>
  <c r="AZ63" i="2"/>
  <c r="BL63" i="2"/>
  <c r="C62" i="2"/>
  <c r="F66" i="2"/>
  <c r="J66" i="2"/>
  <c r="N66" i="2"/>
  <c r="R66" i="2"/>
  <c r="V66" i="2"/>
  <c r="Z66" i="2"/>
  <c r="AD66" i="2"/>
  <c r="AH66" i="2"/>
  <c r="AL66" i="2"/>
  <c r="AP66" i="2"/>
  <c r="AT66" i="2"/>
  <c r="AX66" i="2"/>
  <c r="BB66" i="2"/>
  <c r="BF66" i="2"/>
  <c r="BJ66" i="2"/>
  <c r="BN66" i="2"/>
  <c r="D66" i="2"/>
  <c r="E66" i="2"/>
  <c r="Q66" i="2"/>
  <c r="Y66" i="2"/>
  <c r="AK66" i="2"/>
  <c r="AS66" i="2"/>
  <c r="BA66" i="2"/>
  <c r="BI66" i="2"/>
  <c r="G66" i="2"/>
  <c r="K66" i="2"/>
  <c r="O66" i="2"/>
  <c r="S66" i="2"/>
  <c r="W66" i="2"/>
  <c r="AA66" i="2"/>
  <c r="AE66" i="2"/>
  <c r="AI66" i="2"/>
  <c r="AM66" i="2"/>
  <c r="AQ66" i="2"/>
  <c r="AU66" i="2"/>
  <c r="AY66" i="2"/>
  <c r="BC66" i="2"/>
  <c r="BG66" i="2"/>
  <c r="BK66" i="2"/>
  <c r="BO66" i="2"/>
  <c r="I66" i="2"/>
  <c r="M66" i="2"/>
  <c r="U66" i="2"/>
  <c r="AC66" i="2"/>
  <c r="AO66" i="2"/>
  <c r="AW66" i="2"/>
  <c r="BE66" i="2"/>
  <c r="BM66" i="2"/>
  <c r="H66" i="2"/>
  <c r="L66" i="2"/>
  <c r="P66" i="2"/>
  <c r="T66" i="2"/>
  <c r="X66" i="2"/>
  <c r="AB66" i="2"/>
  <c r="AF66" i="2"/>
  <c r="AJ66" i="2"/>
  <c r="AN66" i="2"/>
  <c r="AR66" i="2"/>
  <c r="AV66" i="2"/>
  <c r="AZ66" i="2"/>
  <c r="BD66" i="2"/>
  <c r="BH66" i="2"/>
  <c r="BL66" i="2"/>
  <c r="BP66" i="2"/>
  <c r="AG66" i="2"/>
  <c r="BQ66" i="2"/>
  <c r="L73" i="3"/>
  <c r="M73" i="3" s="1"/>
  <c r="K73" i="3"/>
  <c r="H74" i="3"/>
  <c r="J74" i="3" s="1"/>
  <c r="AS13" i="2"/>
  <c r="AU13" i="2"/>
  <c r="AT13" i="2"/>
  <c r="AR13" i="2"/>
  <c r="AQ13" i="2"/>
  <c r="C64" i="2" l="1"/>
  <c r="C63" i="2"/>
  <c r="F67" i="2"/>
  <c r="J67" i="2"/>
  <c r="N67" i="2"/>
  <c r="R67" i="2"/>
  <c r="V67" i="2"/>
  <c r="Z67" i="2"/>
  <c r="AD67" i="2"/>
  <c r="AH67" i="2"/>
  <c r="AL67" i="2"/>
  <c r="AP67" i="2"/>
  <c r="AT67" i="2"/>
  <c r="AX67" i="2"/>
  <c r="BB67" i="2"/>
  <c r="BF67" i="2"/>
  <c r="BJ67" i="2"/>
  <c r="BN67" i="2"/>
  <c r="I67" i="2"/>
  <c r="U67" i="2"/>
  <c r="AG67" i="2"/>
  <c r="AO67" i="2"/>
  <c r="AW67" i="2"/>
  <c r="BE67" i="2"/>
  <c r="BQ67" i="2"/>
  <c r="G67" i="2"/>
  <c r="K67" i="2"/>
  <c r="O67" i="2"/>
  <c r="S67" i="2"/>
  <c r="W67" i="2"/>
  <c r="AA67" i="2"/>
  <c r="AE67" i="2"/>
  <c r="AI67" i="2"/>
  <c r="AM67" i="2"/>
  <c r="AQ67" i="2"/>
  <c r="AU67" i="2"/>
  <c r="AY67" i="2"/>
  <c r="BC67" i="2"/>
  <c r="BG67" i="2"/>
  <c r="BK67" i="2"/>
  <c r="BO67" i="2"/>
  <c r="E67" i="2"/>
  <c r="Q67" i="2"/>
  <c r="AC67" i="2"/>
  <c r="AK67" i="2"/>
  <c r="BA67" i="2"/>
  <c r="BM67" i="2"/>
  <c r="H67" i="2"/>
  <c r="L67" i="2"/>
  <c r="P67" i="2"/>
  <c r="T67" i="2"/>
  <c r="X67" i="2"/>
  <c r="AB67" i="2"/>
  <c r="AF67" i="2"/>
  <c r="AJ67" i="2"/>
  <c r="AN67" i="2"/>
  <c r="AR67" i="2"/>
  <c r="AV67" i="2"/>
  <c r="AZ67" i="2"/>
  <c r="BD67" i="2"/>
  <c r="BH67" i="2"/>
  <c r="BL67" i="2"/>
  <c r="BP67" i="2"/>
  <c r="D67" i="2"/>
  <c r="M67" i="2"/>
  <c r="Y67" i="2"/>
  <c r="AS67" i="2"/>
  <c r="BI67" i="2"/>
  <c r="K74" i="3"/>
  <c r="L74" i="3"/>
  <c r="M74" i="3" s="1"/>
  <c r="H75" i="3"/>
  <c r="J75" i="3" s="1"/>
  <c r="E33" i="3"/>
  <c r="E14" i="3" s="1"/>
  <c r="B250" i="2"/>
  <c r="E15" i="3" l="1"/>
  <c r="G14" i="3"/>
  <c r="D51" i="2" s="1"/>
  <c r="F68" i="2"/>
  <c r="F69" i="2" s="1"/>
  <c r="J68" i="2"/>
  <c r="J69" i="2" s="1"/>
  <c r="N68" i="2"/>
  <c r="N69" i="2" s="1"/>
  <c r="R68" i="2"/>
  <c r="R69" i="2" s="1"/>
  <c r="V68" i="2"/>
  <c r="V69" i="2" s="1"/>
  <c r="Z68" i="2"/>
  <c r="Z69" i="2" s="1"/>
  <c r="AD68" i="2"/>
  <c r="AD69" i="2" s="1"/>
  <c r="AH68" i="2"/>
  <c r="AH69" i="2" s="1"/>
  <c r="AL68" i="2"/>
  <c r="AL69" i="2" s="1"/>
  <c r="AP68" i="2"/>
  <c r="AP69" i="2" s="1"/>
  <c r="AT68" i="2"/>
  <c r="AT69" i="2" s="1"/>
  <c r="AX68" i="2"/>
  <c r="AX69" i="2" s="1"/>
  <c r="BB68" i="2"/>
  <c r="BB69" i="2" s="1"/>
  <c r="BF68" i="2"/>
  <c r="BF69" i="2" s="1"/>
  <c r="BJ68" i="2"/>
  <c r="BJ69" i="2" s="1"/>
  <c r="BN68" i="2"/>
  <c r="BN69" i="2" s="1"/>
  <c r="D68" i="2"/>
  <c r="D69" i="2" s="1"/>
  <c r="Q68" i="2"/>
  <c r="Q69" i="2" s="1"/>
  <c r="AK68" i="2"/>
  <c r="AK69" i="2" s="1"/>
  <c r="BA68" i="2"/>
  <c r="BA69" i="2" s="1"/>
  <c r="BM68" i="2"/>
  <c r="BM69" i="2" s="1"/>
  <c r="G68" i="2"/>
  <c r="G69" i="2" s="1"/>
  <c r="K68" i="2"/>
  <c r="K69" i="2" s="1"/>
  <c r="O68" i="2"/>
  <c r="O69" i="2" s="1"/>
  <c r="S68" i="2"/>
  <c r="S69" i="2" s="1"/>
  <c r="W68" i="2"/>
  <c r="W69" i="2" s="1"/>
  <c r="AA68" i="2"/>
  <c r="AA69" i="2" s="1"/>
  <c r="AE68" i="2"/>
  <c r="AE69" i="2" s="1"/>
  <c r="AI68" i="2"/>
  <c r="AI69" i="2" s="1"/>
  <c r="AM68" i="2"/>
  <c r="AM69" i="2" s="1"/>
  <c r="AQ68" i="2"/>
  <c r="AQ69" i="2" s="1"/>
  <c r="AU68" i="2"/>
  <c r="AU69" i="2" s="1"/>
  <c r="AY68" i="2"/>
  <c r="AY69" i="2" s="1"/>
  <c r="BC68" i="2"/>
  <c r="BC69" i="2" s="1"/>
  <c r="BG68" i="2"/>
  <c r="BG69" i="2" s="1"/>
  <c r="BK68" i="2"/>
  <c r="BK69" i="2" s="1"/>
  <c r="BO68" i="2"/>
  <c r="BO69" i="2" s="1"/>
  <c r="E68" i="2"/>
  <c r="E69" i="2" s="1"/>
  <c r="M68" i="2"/>
  <c r="M69" i="2" s="1"/>
  <c r="Y68" i="2"/>
  <c r="Y69" i="2" s="1"/>
  <c r="AG68" i="2"/>
  <c r="AG69" i="2" s="1"/>
  <c r="AS68" i="2"/>
  <c r="AS69" i="2" s="1"/>
  <c r="BE68" i="2"/>
  <c r="BE69" i="2" s="1"/>
  <c r="BQ68" i="2"/>
  <c r="BQ69" i="2" s="1"/>
  <c r="H68" i="2"/>
  <c r="H69" i="2" s="1"/>
  <c r="L68" i="2"/>
  <c r="L69" i="2" s="1"/>
  <c r="P68" i="2"/>
  <c r="P69" i="2" s="1"/>
  <c r="T68" i="2"/>
  <c r="T69" i="2" s="1"/>
  <c r="X68" i="2"/>
  <c r="X69" i="2" s="1"/>
  <c r="AB68" i="2"/>
  <c r="AB69" i="2" s="1"/>
  <c r="AF68" i="2"/>
  <c r="AF69" i="2" s="1"/>
  <c r="AJ68" i="2"/>
  <c r="AJ69" i="2" s="1"/>
  <c r="AN68" i="2"/>
  <c r="AN69" i="2" s="1"/>
  <c r="AR68" i="2"/>
  <c r="AR69" i="2" s="1"/>
  <c r="AV68" i="2"/>
  <c r="AV69" i="2" s="1"/>
  <c r="AZ68" i="2"/>
  <c r="AZ69" i="2" s="1"/>
  <c r="BD68" i="2"/>
  <c r="BD69" i="2" s="1"/>
  <c r="BH68" i="2"/>
  <c r="BH69" i="2" s="1"/>
  <c r="BL68" i="2"/>
  <c r="BL69" i="2" s="1"/>
  <c r="BP68" i="2"/>
  <c r="BP69" i="2" s="1"/>
  <c r="I68" i="2"/>
  <c r="I69" i="2" s="1"/>
  <c r="U68" i="2"/>
  <c r="U69" i="2" s="1"/>
  <c r="AC68" i="2"/>
  <c r="AC69" i="2" s="1"/>
  <c r="AO68" i="2"/>
  <c r="AO69" i="2" s="1"/>
  <c r="AW68" i="2"/>
  <c r="AW69" i="2" s="1"/>
  <c r="BI68" i="2"/>
  <c r="BI69" i="2" s="1"/>
  <c r="L75" i="3"/>
  <c r="M75" i="3" s="1"/>
  <c r="K75" i="3"/>
  <c r="S242" i="2"/>
  <c r="S246" i="2" s="1"/>
  <c r="T242" i="2"/>
  <c r="T246" i="2" s="1"/>
  <c r="U242" i="2"/>
  <c r="U246" i="2" s="1"/>
  <c r="V242" i="2"/>
  <c r="V246" i="2" s="1"/>
  <c r="W242" i="2"/>
  <c r="W246" i="2" s="1"/>
  <c r="X242" i="2"/>
  <c r="X246" i="2" s="1"/>
  <c r="A243" i="2"/>
  <c r="R242" i="2"/>
  <c r="R246" i="2" s="1"/>
  <c r="Q242" i="2"/>
  <c r="Q246" i="2" s="1"/>
  <c r="P242" i="2"/>
  <c r="P246" i="2" s="1"/>
  <c r="O242" i="2"/>
  <c r="O246" i="2" s="1"/>
  <c r="N242" i="2"/>
  <c r="N246" i="2" s="1"/>
  <c r="M242" i="2"/>
  <c r="M246" i="2" s="1"/>
  <c r="L242" i="2"/>
  <c r="L246" i="2" s="1"/>
  <c r="K242" i="2"/>
  <c r="K246" i="2" s="1"/>
  <c r="J242" i="2"/>
  <c r="J246" i="2" s="1"/>
  <c r="I242" i="2"/>
  <c r="I246" i="2" s="1"/>
  <c r="H242" i="2"/>
  <c r="H246" i="2" s="1"/>
  <c r="G242" i="2"/>
  <c r="G246" i="2" s="1"/>
  <c r="F242" i="2"/>
  <c r="F246" i="2" s="1"/>
  <c r="E242" i="2"/>
  <c r="E246" i="2" s="1"/>
  <c r="D242" i="2"/>
  <c r="D234" i="2" l="1"/>
  <c r="E248" i="2"/>
  <c r="F250" i="2" s="1"/>
  <c r="F321" i="2" s="1"/>
  <c r="F322" i="2" s="1"/>
  <c r="F248" i="2" l="1"/>
  <c r="G250" i="2" s="1"/>
  <c r="G321" i="2" s="1"/>
  <c r="G322" i="2" s="1"/>
  <c r="B83" i="2"/>
  <c r="B84" i="2"/>
  <c r="N27" i="3"/>
  <c r="B87" i="2"/>
  <c r="BI82" i="2"/>
  <c r="B79" i="2"/>
  <c r="B78" i="2"/>
  <c r="A84" i="2"/>
  <c r="A148" i="2"/>
  <c r="BE126" i="2"/>
  <c r="BD126" i="2" s="1"/>
  <c r="BC126" i="2" s="1"/>
  <c r="BB126" i="2" s="1"/>
  <c r="BA126" i="2" s="1"/>
  <c r="AZ126" i="2" s="1"/>
  <c r="AY126" i="2" s="1"/>
  <c r="AX126" i="2" s="1"/>
  <c r="AW126" i="2" s="1"/>
  <c r="AV126" i="2" s="1"/>
  <c r="AU126" i="2" s="1"/>
  <c r="AT126" i="2" s="1"/>
  <c r="AS126" i="2" s="1"/>
  <c r="AR126" i="2" s="1"/>
  <c r="AQ126" i="2" s="1"/>
  <c r="AP126" i="2" s="1"/>
  <c r="AO126" i="2" s="1"/>
  <c r="AN126" i="2" s="1"/>
  <c r="AM126" i="2" s="1"/>
  <c r="AL126" i="2" s="1"/>
  <c r="AK126" i="2" s="1"/>
  <c r="AJ126" i="2" s="1"/>
  <c r="AI126" i="2" s="1"/>
  <c r="AH126" i="2" s="1"/>
  <c r="AG126" i="2" s="1"/>
  <c r="AF126" i="2" s="1"/>
  <c r="AE126" i="2" s="1"/>
  <c r="AD126" i="2" s="1"/>
  <c r="AC126" i="2" s="1"/>
  <c r="AB126" i="2" s="1"/>
  <c r="AA126" i="2" s="1"/>
  <c r="Z126" i="2" s="1"/>
  <c r="Y126" i="2" s="1"/>
  <c r="X126" i="2" s="1"/>
  <c r="W126" i="2" s="1"/>
  <c r="V126" i="2" s="1"/>
  <c r="U126" i="2" s="1"/>
  <c r="T126" i="2" s="1"/>
  <c r="S126" i="2" s="1"/>
  <c r="R126" i="2" s="1"/>
  <c r="Q126" i="2" s="1"/>
  <c r="P126" i="2" s="1"/>
  <c r="O126" i="2" s="1"/>
  <c r="N126" i="2" s="1"/>
  <c r="M126" i="2" s="1"/>
  <c r="L126" i="2" s="1"/>
  <c r="K126" i="2" s="1"/>
  <c r="J126" i="2" s="1"/>
  <c r="AY125" i="2"/>
  <c r="AX125" i="2" s="1"/>
  <c r="AW125" i="2" s="1"/>
  <c r="AV125" i="2" s="1"/>
  <c r="AU125" i="2" s="1"/>
  <c r="AT125" i="2" s="1"/>
  <c r="AS125" i="2" s="1"/>
  <c r="AR125" i="2" s="1"/>
  <c r="AQ125" i="2" s="1"/>
  <c r="AP125" i="2" s="1"/>
  <c r="AO125" i="2" s="1"/>
  <c r="AN125" i="2" s="1"/>
  <c r="AM125" i="2" s="1"/>
  <c r="AL125" i="2" s="1"/>
  <c r="AK125" i="2" s="1"/>
  <c r="AJ125" i="2" s="1"/>
  <c r="AI125" i="2" s="1"/>
  <c r="AH125" i="2" s="1"/>
  <c r="AG125" i="2" s="1"/>
  <c r="AF125" i="2" s="1"/>
  <c r="AE125" i="2" s="1"/>
  <c r="AD125" i="2" s="1"/>
  <c r="AC125" i="2" s="1"/>
  <c r="AB125" i="2" s="1"/>
  <c r="AA125" i="2" s="1"/>
  <c r="Z125" i="2" s="1"/>
  <c r="Y125" i="2" s="1"/>
  <c r="X125" i="2" s="1"/>
  <c r="W125" i="2" s="1"/>
  <c r="V125" i="2" s="1"/>
  <c r="U125" i="2" s="1"/>
  <c r="T125" i="2" s="1"/>
  <c r="S125" i="2" s="1"/>
  <c r="R125" i="2" s="1"/>
  <c r="Q125" i="2" s="1"/>
  <c r="P125" i="2" s="1"/>
  <c r="O125" i="2" s="1"/>
  <c r="N125" i="2" s="1"/>
  <c r="M125" i="2" s="1"/>
  <c r="L125" i="2" s="1"/>
  <c r="K125" i="2" s="1"/>
  <c r="J125" i="2" s="1"/>
  <c r="AS124" i="2"/>
  <c r="AR124" i="2" s="1"/>
  <c r="AQ124" i="2" s="1"/>
  <c r="AP124" i="2" s="1"/>
  <c r="AO124" i="2" s="1"/>
  <c r="AN124" i="2" s="1"/>
  <c r="AM124" i="2" s="1"/>
  <c r="AL124" i="2" s="1"/>
  <c r="AK124" i="2" s="1"/>
  <c r="AJ124" i="2" s="1"/>
  <c r="AI124" i="2" s="1"/>
  <c r="AH124" i="2" s="1"/>
  <c r="AG124" i="2" s="1"/>
  <c r="AF124" i="2" s="1"/>
  <c r="AE124" i="2" s="1"/>
  <c r="AD124" i="2" s="1"/>
  <c r="AC124" i="2" s="1"/>
  <c r="AB124" i="2" s="1"/>
  <c r="AA124" i="2" s="1"/>
  <c r="Z124" i="2" s="1"/>
  <c r="Y124" i="2" s="1"/>
  <c r="X124" i="2" s="1"/>
  <c r="W124" i="2" s="1"/>
  <c r="V124" i="2" s="1"/>
  <c r="U124" i="2" s="1"/>
  <c r="T124" i="2" s="1"/>
  <c r="S124" i="2" s="1"/>
  <c r="R124" i="2" s="1"/>
  <c r="Q124" i="2" s="1"/>
  <c r="P124" i="2" s="1"/>
  <c r="O124" i="2" s="1"/>
  <c r="N124" i="2" s="1"/>
  <c r="M124" i="2" s="1"/>
  <c r="L124" i="2" s="1"/>
  <c r="K124" i="2" s="1"/>
  <c r="J124" i="2" s="1"/>
  <c r="AM123" i="2"/>
  <c r="AL123" i="2" s="1"/>
  <c r="AK123" i="2" s="1"/>
  <c r="AJ123" i="2" s="1"/>
  <c r="AI123" i="2" s="1"/>
  <c r="AH123" i="2" s="1"/>
  <c r="AG123" i="2" s="1"/>
  <c r="AF123" i="2" s="1"/>
  <c r="AE123" i="2" s="1"/>
  <c r="AD123" i="2" s="1"/>
  <c r="AC123" i="2" s="1"/>
  <c r="AB123" i="2" s="1"/>
  <c r="AA123" i="2" s="1"/>
  <c r="Z123" i="2" s="1"/>
  <c r="Y123" i="2" s="1"/>
  <c r="X123" i="2" s="1"/>
  <c r="W123" i="2" s="1"/>
  <c r="V123" i="2" s="1"/>
  <c r="U123" i="2" s="1"/>
  <c r="T123" i="2" s="1"/>
  <c r="S123" i="2" s="1"/>
  <c r="R123" i="2" s="1"/>
  <c r="Q123" i="2" s="1"/>
  <c r="P123" i="2" s="1"/>
  <c r="O123" i="2" s="1"/>
  <c r="N123" i="2" s="1"/>
  <c r="M123" i="2" s="1"/>
  <c r="L123" i="2" s="1"/>
  <c r="K123" i="2" s="1"/>
  <c r="J123" i="2" s="1"/>
  <c r="A147" i="2"/>
  <c r="R53" i="2"/>
  <c r="S53" i="2"/>
  <c r="T53" i="2"/>
  <c r="U53" i="2"/>
  <c r="V53" i="2"/>
  <c r="W53" i="2"/>
  <c r="X53" i="2"/>
  <c r="Y53" i="2"/>
  <c r="Z53" i="2"/>
  <c r="AA53" i="2"/>
  <c r="AC53" i="2"/>
  <c r="AD53" i="2"/>
  <c r="AE53" i="2"/>
  <c r="AF53" i="2"/>
  <c r="AG53" i="2"/>
  <c r="AH53" i="2"/>
  <c r="AI53" i="2"/>
  <c r="AJ53" i="2"/>
  <c r="AK53" i="2"/>
  <c r="AL53" i="2"/>
  <c r="AM53" i="2"/>
  <c r="AO53" i="2"/>
  <c r="AP53" i="2"/>
  <c r="AQ53" i="2"/>
  <c r="AR53" i="2"/>
  <c r="AS53" i="2"/>
  <c r="AT53" i="2"/>
  <c r="AU53" i="2"/>
  <c r="AV53" i="2"/>
  <c r="AW53" i="2"/>
  <c r="AX53" i="2"/>
  <c r="AY53" i="2"/>
  <c r="AZ53" i="2"/>
  <c r="BA53" i="2"/>
  <c r="BB53" i="2"/>
  <c r="BC53" i="2"/>
  <c r="BD53" i="2"/>
  <c r="BE53" i="2"/>
  <c r="BF53" i="2"/>
  <c r="BG53" i="2"/>
  <c r="BH53" i="2"/>
  <c r="BI53" i="2"/>
  <c r="BJ53" i="2"/>
  <c r="BK53" i="2"/>
  <c r="BL53" i="2"/>
  <c r="BM53" i="2"/>
  <c r="BN53" i="2"/>
  <c r="BO53" i="2"/>
  <c r="BP53" i="2"/>
  <c r="BQ53" i="2"/>
  <c r="E53" i="2"/>
  <c r="F53" i="2"/>
  <c r="G53" i="2"/>
  <c r="H53" i="2"/>
  <c r="I53" i="2"/>
  <c r="J53" i="2"/>
  <c r="K53" i="2"/>
  <c r="L53" i="2"/>
  <c r="M53" i="2"/>
  <c r="N53" i="2"/>
  <c r="O53" i="2"/>
  <c r="P53" i="2"/>
  <c r="Q53" i="2"/>
  <c r="F82" i="2" l="1"/>
  <c r="H82" i="2"/>
  <c r="L82" i="2"/>
  <c r="P82" i="2"/>
  <c r="T82" i="2"/>
  <c r="X82" i="2"/>
  <c r="AB82" i="2"/>
  <c r="AF82" i="2"/>
  <c r="AJ82" i="2"/>
  <c r="AN82" i="2"/>
  <c r="AR82" i="2"/>
  <c r="AV82" i="2"/>
  <c r="AZ82" i="2"/>
  <c r="BD82" i="2"/>
  <c r="BH82" i="2"/>
  <c r="I82" i="2"/>
  <c r="M82" i="2"/>
  <c r="Q82" i="2"/>
  <c r="U82" i="2"/>
  <c r="Y82" i="2"/>
  <c r="AC82" i="2"/>
  <c r="AG82" i="2"/>
  <c r="AK82" i="2"/>
  <c r="AO82" i="2"/>
  <c r="AS82" i="2"/>
  <c r="AW82" i="2"/>
  <c r="BA82" i="2"/>
  <c r="BE82" i="2"/>
  <c r="J82" i="2"/>
  <c r="N82" i="2"/>
  <c r="R82" i="2"/>
  <c r="V82" i="2"/>
  <c r="Z82" i="2"/>
  <c r="AD82" i="2"/>
  <c r="AH82" i="2"/>
  <c r="AL82" i="2"/>
  <c r="AP82" i="2"/>
  <c r="AT82" i="2"/>
  <c r="AX82" i="2"/>
  <c r="BB82" i="2"/>
  <c r="BF82" i="2"/>
  <c r="K82" i="2"/>
  <c r="AA82" i="2"/>
  <c r="AQ82" i="2"/>
  <c r="BG82" i="2"/>
  <c r="O82" i="2"/>
  <c r="AE82" i="2"/>
  <c r="AU82" i="2"/>
  <c r="S82" i="2"/>
  <c r="AI82" i="2"/>
  <c r="AY82" i="2"/>
  <c r="W82" i="2"/>
  <c r="AM82" i="2"/>
  <c r="BC82" i="2"/>
  <c r="G248" i="2"/>
  <c r="E82" i="2"/>
  <c r="G82" i="2"/>
  <c r="H250" i="2" l="1"/>
  <c r="H321" i="2" s="1"/>
  <c r="H322" i="2" s="1"/>
  <c r="H248" i="2"/>
  <c r="I248" i="2" l="1"/>
  <c r="I250" i="2"/>
  <c r="I321" i="2" s="1"/>
  <c r="I322" i="2" s="1"/>
  <c r="J250" i="2" l="1"/>
  <c r="J321" i="2" s="1"/>
  <c r="J322" i="2" s="1"/>
  <c r="J248" i="2"/>
  <c r="K250" i="2" l="1"/>
  <c r="K321" i="2" s="1"/>
  <c r="K322" i="2" s="1"/>
  <c r="K248" i="2"/>
  <c r="B229" i="2"/>
  <c r="A229" i="2"/>
  <c r="B91" i="2"/>
  <c r="A91" i="2"/>
  <c r="A1" i="2"/>
  <c r="D206" i="2"/>
  <c r="AH11" i="2"/>
  <c r="AI11" i="2"/>
  <c r="AJ11" i="2"/>
  <c r="AK11" i="2"/>
  <c r="AL11" i="2"/>
  <c r="AM11" i="2"/>
  <c r="AN11" i="2"/>
  <c r="AO11" i="2"/>
  <c r="AP11" i="2"/>
  <c r="V11" i="2"/>
  <c r="W11" i="2"/>
  <c r="X11" i="2"/>
  <c r="Y11" i="2"/>
  <c r="Z11" i="2"/>
  <c r="AA11" i="2"/>
  <c r="AB11" i="2"/>
  <c r="AC11" i="2"/>
  <c r="AD11" i="2"/>
  <c r="AE11" i="2"/>
  <c r="AF11" i="2"/>
  <c r="AG11" i="2"/>
  <c r="K11" i="2"/>
  <c r="L11" i="2"/>
  <c r="M11" i="2"/>
  <c r="N11" i="2"/>
  <c r="O11" i="2"/>
  <c r="P11" i="2"/>
  <c r="Q11" i="2"/>
  <c r="R11" i="2"/>
  <c r="S11" i="2"/>
  <c r="T11" i="2"/>
  <c r="U11" i="2"/>
  <c r="J11" i="2"/>
  <c r="L250" i="2" l="1"/>
  <c r="L321" i="2" s="1"/>
  <c r="L322" i="2" s="1"/>
  <c r="L248" i="2"/>
  <c r="X12" i="2"/>
  <c r="R12" i="2"/>
  <c r="AA12" i="2"/>
  <c r="W12" i="2"/>
  <c r="Y12" i="2"/>
  <c r="Z12" i="2"/>
  <c r="V12" i="2"/>
  <c r="AP12" i="2"/>
  <c r="T12" i="2"/>
  <c r="AD12" i="2"/>
  <c r="AO12" i="2"/>
  <c r="AK12" i="2"/>
  <c r="U12" i="2"/>
  <c r="Q12" i="2"/>
  <c r="AE12" i="2"/>
  <c r="AH12" i="2"/>
  <c r="P12" i="2"/>
  <c r="S12" i="2"/>
  <c r="O12" i="2"/>
  <c r="AG12" i="2"/>
  <c r="AC12" i="2"/>
  <c r="AN12" i="2"/>
  <c r="AJ12" i="2"/>
  <c r="AL12" i="2"/>
  <c r="AF12" i="2"/>
  <c r="AB12" i="2"/>
  <c r="AM12" i="2"/>
  <c r="AI12" i="2"/>
  <c r="N12" i="2"/>
  <c r="M12" i="2"/>
  <c r="L12" i="2"/>
  <c r="K12" i="2"/>
  <c r="J12" i="2"/>
  <c r="J13" i="2" l="1"/>
  <c r="M250" i="2"/>
  <c r="M321" i="2" s="1"/>
  <c r="M322" i="2" s="1"/>
  <c r="M248" i="2"/>
  <c r="AF13" i="2"/>
  <c r="S13" i="2"/>
  <c r="AD13" i="2"/>
  <c r="X13" i="2"/>
  <c r="L13" i="2"/>
  <c r="AM13" i="2"/>
  <c r="AL13" i="2"/>
  <c r="AC13" i="2"/>
  <c r="P13" i="2"/>
  <c r="U13" i="2"/>
  <c r="T13" i="2"/>
  <c r="Y13" i="2"/>
  <c r="AA13" i="2"/>
  <c r="K13" i="2"/>
  <c r="Z13" i="2"/>
  <c r="AG13" i="2"/>
  <c r="AK13" i="2"/>
  <c r="V13" i="2"/>
  <c r="AI13" i="2"/>
  <c r="Q13" i="2"/>
  <c r="M13" i="2"/>
  <c r="AJ13" i="2"/>
  <c r="AH13" i="2"/>
  <c r="AP13" i="2"/>
  <c r="N13" i="2"/>
  <c r="AB13" i="2"/>
  <c r="AN13" i="2"/>
  <c r="O13" i="2"/>
  <c r="AE13" i="2"/>
  <c r="AO13" i="2"/>
  <c r="W13" i="2"/>
  <c r="R13" i="2"/>
  <c r="N250" i="2" l="1"/>
  <c r="N321" i="2" s="1"/>
  <c r="N322" i="2" s="1"/>
  <c r="N248" i="2"/>
  <c r="O250" i="2" l="1"/>
  <c r="O321" i="2" s="1"/>
  <c r="O322" i="2" s="1"/>
  <c r="O248" i="2"/>
  <c r="P250" i="2" l="1"/>
  <c r="P321" i="2" s="1"/>
  <c r="P322" i="2" s="1"/>
  <c r="P248" i="2"/>
  <c r="A102" i="2"/>
  <c r="A103" i="2"/>
  <c r="A104" i="2"/>
  <c r="A101" i="2"/>
  <c r="J215" i="2" l="1"/>
  <c r="E215" i="2"/>
  <c r="I215" i="2"/>
  <c r="F215" i="2"/>
  <c r="H215" i="2"/>
  <c r="G215" i="2"/>
  <c r="Q250" i="2"/>
  <c r="Q321" i="2" s="1"/>
  <c r="Q322" i="2" s="1"/>
  <c r="Q248" i="2"/>
  <c r="R250" i="2" l="1"/>
  <c r="R321" i="2" s="1"/>
  <c r="R322" i="2" s="1"/>
  <c r="R248" i="2"/>
  <c r="AB52" i="2"/>
  <c r="AB53" i="2" s="1"/>
  <c r="A273" i="2"/>
  <c r="A272" i="2"/>
  <c r="A271" i="2"/>
  <c r="B223" i="2"/>
  <c r="B222" i="2"/>
  <c r="B90" i="2"/>
  <c r="B80" i="2"/>
  <c r="B81" i="2"/>
  <c r="B85" i="2"/>
  <c r="B88" i="2"/>
  <c r="B89" i="2"/>
  <c r="A79" i="2"/>
  <c r="A80" i="2"/>
  <c r="A81" i="2"/>
  <c r="A82" i="2"/>
  <c r="A83" i="2"/>
  <c r="A85" i="2"/>
  <c r="A88" i="2"/>
  <c r="A89" i="2"/>
  <c r="A90" i="2"/>
  <c r="A78" i="2"/>
  <c r="A74" i="2"/>
  <c r="A73" i="2"/>
  <c r="A72" i="2"/>
  <c r="C46" i="2"/>
  <c r="C44" i="2"/>
  <c r="C42" i="2"/>
  <c r="A42" i="2"/>
  <c r="A41" i="2"/>
  <c r="A44" i="2"/>
  <c r="A45" i="2"/>
  <c r="A46" i="2"/>
  <c r="A43" i="2"/>
  <c r="A280" i="2"/>
  <c r="A68" i="2"/>
  <c r="A67" i="2"/>
  <c r="A66" i="2"/>
  <c r="A65" i="2"/>
  <c r="C43" i="2"/>
  <c r="C39" i="2"/>
  <c r="C38" i="2"/>
  <c r="C37" i="2"/>
  <c r="C36" i="2"/>
  <c r="C13" i="2"/>
  <c r="C12" i="2"/>
  <c r="C11" i="2"/>
  <c r="C10" i="2"/>
  <c r="S250" i="2" l="1"/>
  <c r="S321" i="2" s="1"/>
  <c r="S322" i="2" s="1"/>
  <c r="S248" i="2"/>
  <c r="AN52" i="2"/>
  <c r="AN53" i="2" s="1"/>
  <c r="C45" i="2"/>
  <c r="C41" i="2"/>
  <c r="D215" i="2"/>
  <c r="J79" i="3"/>
  <c r="T250" i="2" l="1"/>
  <c r="T321" i="2" s="1"/>
  <c r="T322" i="2" s="1"/>
  <c r="A110" i="2"/>
  <c r="A109" i="2"/>
  <c r="A111" i="2"/>
  <c r="A108" i="2"/>
  <c r="A212" i="2" l="1"/>
  <c r="A126" i="2"/>
  <c r="A211" i="2"/>
  <c r="A125" i="2"/>
  <c r="A209" i="2"/>
  <c r="A123" i="2"/>
  <c r="A210" i="2"/>
  <c r="A124" i="2"/>
  <c r="BO242" i="2" l="1"/>
  <c r="BO246" i="2" s="1"/>
  <c r="BN242" i="2"/>
  <c r="BN246" i="2" s="1"/>
  <c r="BK242" i="2"/>
  <c r="BK246" i="2" s="1"/>
  <c r="BM242" i="2"/>
  <c r="BM246" i="2" s="1"/>
  <c r="BJ242" i="2"/>
  <c r="BJ246" i="2" s="1"/>
  <c r="BH242" i="2"/>
  <c r="BH246" i="2" s="1"/>
  <c r="BL242" i="2"/>
  <c r="BL246" i="2" s="1"/>
  <c r="BI242" i="2"/>
  <c r="BI246" i="2" s="1"/>
  <c r="BQ242" i="2"/>
  <c r="BQ246" i="2" s="1"/>
  <c r="BP242" i="2"/>
  <c r="BP246" i="2" s="1"/>
  <c r="C73" i="2" l="1"/>
  <c r="T248" i="2" l="1"/>
  <c r="U250" i="2" l="1"/>
  <c r="U321" i="2" s="1"/>
  <c r="U322" i="2" s="1"/>
  <c r="U248" i="2"/>
  <c r="V250" i="2" l="1"/>
  <c r="V321" i="2" s="1"/>
  <c r="V322" i="2" s="1"/>
  <c r="V248" i="2"/>
  <c r="W250" i="2" l="1"/>
  <c r="W321" i="2" s="1"/>
  <c r="W322" i="2" s="1"/>
  <c r="W248" i="2"/>
  <c r="X250" i="2" l="1"/>
  <c r="X321" i="2" s="1"/>
  <c r="X322" i="2" s="1"/>
  <c r="X248" i="2"/>
  <c r="Y250" i="2" l="1"/>
  <c r="Y321" i="2" s="1"/>
  <c r="AT320" i="2" l="1"/>
  <c r="AT242" i="2" l="1"/>
  <c r="AU320" i="2"/>
  <c r="AU242" i="2" l="1"/>
  <c r="AV320" i="2"/>
  <c r="AV242" i="2" l="1"/>
  <c r="AW320" i="2"/>
  <c r="AW242" i="2" l="1"/>
  <c r="AX242" i="2" l="1"/>
  <c r="AY242" i="2" l="1"/>
  <c r="AZ242" i="2" l="1"/>
  <c r="BA242" i="2" l="1"/>
  <c r="BB242" i="2" l="1"/>
  <c r="BC242" i="2" l="1"/>
  <c r="BD242" i="2" l="1"/>
  <c r="BE242" i="2" l="1"/>
  <c r="BF242" i="2" l="1"/>
  <c r="BG242" i="2" l="1"/>
  <c r="BG246" i="2" l="1"/>
  <c r="BA246" i="2" l="1"/>
  <c r="AT246" i="2"/>
  <c r="AU246" i="2"/>
  <c r="AV246" i="2"/>
  <c r="AW246" i="2"/>
  <c r="AX246" i="2"/>
  <c r="AY246" i="2"/>
  <c r="AZ246" i="2"/>
  <c r="BB246" i="2"/>
  <c r="BC246" i="2"/>
  <c r="BD246" i="2"/>
  <c r="BE246" i="2"/>
  <c r="BF246" i="2"/>
  <c r="E121" i="3" l="1"/>
  <c r="H121" i="3" s="1"/>
  <c r="E122" i="3"/>
  <c r="H122" i="3" s="1"/>
  <c r="E123" i="3"/>
  <c r="H123" i="3" s="1"/>
  <c r="E124" i="3"/>
  <c r="H124" i="3" s="1"/>
  <c r="H78" i="3" l="1"/>
  <c r="J78" i="3" s="1"/>
  <c r="L78" i="3" s="1"/>
  <c r="E72" i="2" l="1"/>
  <c r="I72" i="2"/>
  <c r="M72" i="2"/>
  <c r="Q72" i="2"/>
  <c r="U72" i="2"/>
  <c r="Y72" i="2"/>
  <c r="AC72" i="2"/>
  <c r="AG72" i="2"/>
  <c r="AK72" i="2"/>
  <c r="AO72" i="2"/>
  <c r="AS72" i="2"/>
  <c r="AW72" i="2"/>
  <c r="BA72" i="2"/>
  <c r="BE72" i="2"/>
  <c r="BI72" i="2"/>
  <c r="BM72" i="2"/>
  <c r="BQ72" i="2"/>
  <c r="P72" i="2"/>
  <c r="AJ72" i="2"/>
  <c r="AZ72" i="2"/>
  <c r="BP72" i="2"/>
  <c r="M78" i="3"/>
  <c r="F72" i="2"/>
  <c r="J72" i="2"/>
  <c r="N72" i="2"/>
  <c r="R72" i="2"/>
  <c r="V72" i="2"/>
  <c r="Z72" i="2"/>
  <c r="AD72" i="2"/>
  <c r="AH72" i="2"/>
  <c r="AL72" i="2"/>
  <c r="AP72" i="2"/>
  <c r="AT72" i="2"/>
  <c r="AX72" i="2"/>
  <c r="BB72" i="2"/>
  <c r="BF72" i="2"/>
  <c r="BJ72" i="2"/>
  <c r="BN72" i="2"/>
  <c r="H72" i="2"/>
  <c r="T72" i="2"/>
  <c r="AB72" i="2"/>
  <c r="AF72" i="2"/>
  <c r="AR72" i="2"/>
  <c r="AV72" i="2"/>
  <c r="BH72" i="2"/>
  <c r="G72" i="2"/>
  <c r="K72" i="2"/>
  <c r="O72" i="2"/>
  <c r="S72" i="2"/>
  <c r="W72" i="2"/>
  <c r="AA72" i="2"/>
  <c r="AE72" i="2"/>
  <c r="AI72" i="2"/>
  <c r="AM72" i="2"/>
  <c r="AQ72" i="2"/>
  <c r="AU72" i="2"/>
  <c r="AY72" i="2"/>
  <c r="BC72" i="2"/>
  <c r="BG72" i="2"/>
  <c r="BK72" i="2"/>
  <c r="BO72" i="2"/>
  <c r="L72" i="2"/>
  <c r="X72" i="2"/>
  <c r="AN72" i="2"/>
  <c r="BD72" i="2"/>
  <c r="BL72" i="2"/>
  <c r="D72" i="2"/>
  <c r="C46" i="3"/>
  <c r="F46" i="3" s="1"/>
  <c r="C45" i="3"/>
  <c r="F45" i="3" s="1"/>
  <c r="C44" i="3"/>
  <c r="C51" i="2"/>
  <c r="D52" i="2"/>
  <c r="C47" i="3" l="1"/>
  <c r="F44" i="3"/>
  <c r="F47" i="3" s="1"/>
  <c r="C72" i="2"/>
  <c r="C52" i="2"/>
  <c r="D53" i="2"/>
  <c r="C53" i="2" l="1"/>
  <c r="D45" i="5"/>
  <c r="D26" i="3"/>
  <c r="B109" i="2" s="1"/>
  <c r="D25" i="3"/>
  <c r="D28" i="3"/>
  <c r="D27" i="3"/>
  <c r="B110" i="2" s="1"/>
  <c r="B30" i="3"/>
  <c r="B32" i="3"/>
  <c r="B31" i="3"/>
  <c r="B29" i="3"/>
  <c r="B10" i="2" s="1"/>
  <c r="C270" i="2"/>
  <c r="S67" i="3"/>
  <c r="B111" i="2"/>
  <c r="B108" i="2"/>
  <c r="D47" i="3"/>
  <c r="N33" i="3" s="1"/>
  <c r="E47" i="3"/>
  <c r="L36" i="3"/>
  <c r="E45" i="5" l="1"/>
  <c r="B11" i="2"/>
  <c r="D125" i="3"/>
  <c r="G125" i="3" s="1"/>
  <c r="J125" i="3" s="1"/>
  <c r="D119" i="3"/>
  <c r="G119" i="3" s="1"/>
  <c r="J119" i="3" s="1"/>
  <c r="D120" i="3"/>
  <c r="G120" i="3" s="1"/>
  <c r="J120" i="3" s="1"/>
  <c r="G117" i="3"/>
  <c r="J117" i="3" s="1"/>
  <c r="H76" i="3"/>
  <c r="C67" i="2"/>
  <c r="C66" i="2"/>
  <c r="C68" i="2"/>
  <c r="F45" i="5" l="1"/>
  <c r="B12" i="2"/>
  <c r="D33" i="3"/>
  <c r="J76" i="3"/>
  <c r="I76" i="3" s="1"/>
  <c r="G45" i="5" l="1"/>
  <c r="K35" i="3"/>
  <c r="O35" i="3" s="1"/>
  <c r="E51" i="3"/>
  <c r="S88" i="3"/>
  <c r="B13" i="2"/>
  <c r="B33" i="3"/>
  <c r="K33" i="3" s="1"/>
  <c r="O33" i="3" s="1"/>
  <c r="Q35" i="3" s="1"/>
  <c r="B18" i="2" s="1"/>
  <c r="C65" i="2"/>
  <c r="E76" i="3"/>
  <c r="K76" i="3"/>
  <c r="K81" i="3" s="1"/>
  <c r="AU14" i="2" l="1"/>
  <c r="AT14" i="2"/>
  <c r="BO14" i="2"/>
  <c r="AW14" i="2"/>
  <c r="BB14" i="2"/>
  <c r="X14" i="2"/>
  <c r="BQ14" i="2"/>
  <c r="BL14" i="2"/>
  <c r="M14" i="2"/>
  <c r="BN14" i="2"/>
  <c r="AL14" i="2"/>
  <c r="O14" i="2"/>
  <c r="P14" i="2"/>
  <c r="S14" i="2"/>
  <c r="U14" i="2"/>
  <c r="J14" i="2"/>
  <c r="AR14" i="2"/>
  <c r="AZ14" i="2"/>
  <c r="BE14" i="2"/>
  <c r="BF14" i="2"/>
  <c r="Q14" i="2"/>
  <c r="AD14" i="2"/>
  <c r="AE14" i="2"/>
  <c r="N14" i="2"/>
  <c r="B14" i="2"/>
  <c r="E14" i="2"/>
  <c r="BP14" i="2"/>
  <c r="F14" i="2"/>
  <c r="BD14" i="2"/>
  <c r="AS14" i="2"/>
  <c r="BM14" i="2"/>
  <c r="H14" i="2"/>
  <c r="BC14" i="2"/>
  <c r="BI14" i="2"/>
  <c r="BH14" i="2"/>
  <c r="BA14" i="2"/>
  <c r="R14" i="2"/>
  <c r="AV14" i="2"/>
  <c r="AM14" i="2"/>
  <c r="AK14" i="2"/>
  <c r="AX14" i="2"/>
  <c r="AG14" i="2"/>
  <c r="AH14" i="2"/>
  <c r="AN14" i="2"/>
  <c r="AC14" i="2"/>
  <c r="W14" i="2"/>
  <c r="T14" i="2"/>
  <c r="Y14" i="2"/>
  <c r="I14" i="2"/>
  <c r="G14" i="2"/>
  <c r="BG14" i="2"/>
  <c r="BK14" i="2"/>
  <c r="BJ14" i="2"/>
  <c r="AQ14" i="2"/>
  <c r="D14" i="2"/>
  <c r="AI14" i="2"/>
  <c r="L14" i="2"/>
  <c r="AY14" i="2"/>
  <c r="AO14" i="2"/>
  <c r="AB14" i="2"/>
  <c r="AP14" i="2"/>
  <c r="Z14" i="2"/>
  <c r="AF14" i="2"/>
  <c r="AA14" i="2"/>
  <c r="K14" i="2"/>
  <c r="AJ14" i="2"/>
  <c r="V14" i="2"/>
  <c r="O36" i="3"/>
  <c r="G76" i="3"/>
  <c r="F76" i="3" s="1"/>
  <c r="E15" i="2" l="1"/>
  <c r="F15" i="2" s="1"/>
  <c r="G15" i="2" s="1"/>
  <c r="H15" i="2" s="1"/>
  <c r="I15" i="2" s="1"/>
  <c r="J15" i="2" s="1"/>
  <c r="K15" i="2" s="1"/>
  <c r="L15" i="2" s="1"/>
  <c r="M15" i="2" s="1"/>
  <c r="N15" i="2" s="1"/>
  <c r="O15" i="2" s="1"/>
  <c r="P15" i="2" s="1"/>
  <c r="Q15" i="2" s="1"/>
  <c r="R15" i="2" s="1"/>
  <c r="S15" i="2" s="1"/>
  <c r="T15" i="2" s="1"/>
  <c r="U15" i="2" s="1"/>
  <c r="V15" i="2" s="1"/>
  <c r="W15" i="2" s="1"/>
  <c r="X15" i="2" s="1"/>
  <c r="Y15" i="2" s="1"/>
  <c r="Z15" i="2" s="1"/>
  <c r="AA15" i="2" s="1"/>
  <c r="AB15" i="2" s="1"/>
  <c r="AC15" i="2" s="1"/>
  <c r="AD15" i="2" s="1"/>
  <c r="AE15" i="2" s="1"/>
  <c r="AF15" i="2" s="1"/>
  <c r="AG15" i="2" s="1"/>
  <c r="AH15" i="2" s="1"/>
  <c r="AI15" i="2" s="1"/>
  <c r="AJ15" i="2" s="1"/>
  <c r="AK15" i="2" s="1"/>
  <c r="AL15" i="2" s="1"/>
  <c r="AM15" i="2" s="1"/>
  <c r="AN15" i="2" s="1"/>
  <c r="AO15" i="2" s="1"/>
  <c r="AP15" i="2" s="1"/>
  <c r="AQ15" i="2" s="1"/>
  <c r="AR15" i="2" s="1"/>
  <c r="AS15" i="2" s="1"/>
  <c r="AT15" i="2" s="1"/>
  <c r="AU15" i="2" s="1"/>
  <c r="AV15" i="2" s="1"/>
  <c r="AW15" i="2" s="1"/>
  <c r="AX15" i="2" s="1"/>
  <c r="AY15" i="2" s="1"/>
  <c r="AZ15" i="2" s="1"/>
  <c r="BA15" i="2" s="1"/>
  <c r="BB15" i="2" s="1"/>
  <c r="BC15" i="2" s="1"/>
  <c r="BD15" i="2" s="1"/>
  <c r="BE15" i="2" s="1"/>
  <c r="BF15" i="2" s="1"/>
  <c r="BG15" i="2" s="1"/>
  <c r="BH15" i="2" s="1"/>
  <c r="BI15" i="2" s="1"/>
  <c r="BJ15" i="2" s="1"/>
  <c r="BK15" i="2" s="1"/>
  <c r="BL15" i="2" s="1"/>
  <c r="BM15" i="2" s="1"/>
  <c r="BN15" i="2" s="1"/>
  <c r="BO15" i="2" s="1"/>
  <c r="BP15" i="2" s="1"/>
  <c r="BQ15" i="2" s="1"/>
  <c r="AA18" i="2"/>
  <c r="AA19" i="2"/>
  <c r="AB18" i="2"/>
  <c r="AB19" i="2"/>
  <c r="AI19" i="2"/>
  <c r="AI18" i="2"/>
  <c r="BK18" i="2"/>
  <c r="BK19" i="2"/>
  <c r="Y18" i="2"/>
  <c r="Y19" i="2"/>
  <c r="AN19" i="2"/>
  <c r="AN18" i="2"/>
  <c r="AK18" i="2"/>
  <c r="AK19" i="2"/>
  <c r="BA19" i="2"/>
  <c r="BA18" i="2"/>
  <c r="N18" i="2"/>
  <c r="N19" i="2"/>
  <c r="BF18" i="2"/>
  <c r="BF19" i="2"/>
  <c r="J19" i="2"/>
  <c r="J18" i="2"/>
  <c r="O19" i="2"/>
  <c r="O18" i="2"/>
  <c r="BL18" i="2"/>
  <c r="BL19" i="2"/>
  <c r="AW18" i="2"/>
  <c r="AW19" i="2"/>
  <c r="V18" i="2"/>
  <c r="V19" i="2"/>
  <c r="AF18" i="2"/>
  <c r="AF19" i="2"/>
  <c r="AO19" i="2"/>
  <c r="AO18" i="2"/>
  <c r="C14" i="2"/>
  <c r="BG18" i="2"/>
  <c r="BG19" i="2"/>
  <c r="T18" i="2"/>
  <c r="T19" i="2"/>
  <c r="AH18" i="2"/>
  <c r="AH19" i="2"/>
  <c r="AM18" i="2"/>
  <c r="AM19" i="2"/>
  <c r="BH18" i="2"/>
  <c r="BH19" i="2"/>
  <c r="BM18" i="2"/>
  <c r="BM19" i="2"/>
  <c r="BP18" i="2"/>
  <c r="BP19" i="2"/>
  <c r="AE18" i="2"/>
  <c r="AE19" i="2"/>
  <c r="BE18" i="2"/>
  <c r="BE19" i="2"/>
  <c r="U18" i="2"/>
  <c r="U19" i="2"/>
  <c r="AL19" i="2"/>
  <c r="AL18" i="2"/>
  <c r="BQ18" i="2"/>
  <c r="BQ19" i="2"/>
  <c r="BO18" i="2"/>
  <c r="BO19" i="2"/>
  <c r="AJ18" i="2"/>
  <c r="AJ19" i="2"/>
  <c r="Z19" i="2"/>
  <c r="Z18" i="2"/>
  <c r="AY18" i="2"/>
  <c r="AY19" i="2"/>
  <c r="AQ18" i="2"/>
  <c r="AQ19" i="2"/>
  <c r="W19" i="2"/>
  <c r="W18" i="2"/>
  <c r="AG18" i="2"/>
  <c r="AG19" i="2"/>
  <c r="AV18" i="2"/>
  <c r="AV19" i="2"/>
  <c r="BI18" i="2"/>
  <c r="BI19" i="2"/>
  <c r="AS18" i="2"/>
  <c r="AS19" i="2"/>
  <c r="AD18" i="2"/>
  <c r="AD19" i="2"/>
  <c r="AZ18" i="2"/>
  <c r="AZ19" i="2"/>
  <c r="S18" i="2"/>
  <c r="S19" i="2"/>
  <c r="BN18" i="2"/>
  <c r="BN19" i="2"/>
  <c r="X18" i="2"/>
  <c r="X19" i="2"/>
  <c r="AT18" i="2"/>
  <c r="AT19" i="2"/>
  <c r="K18" i="2"/>
  <c r="K19" i="2"/>
  <c r="AP18" i="2"/>
  <c r="AP19" i="2"/>
  <c r="L18" i="2"/>
  <c r="L19" i="2"/>
  <c r="BJ18" i="2"/>
  <c r="BJ19" i="2"/>
  <c r="AC18" i="2"/>
  <c r="AC19" i="2"/>
  <c r="AX19" i="2"/>
  <c r="AX18" i="2"/>
  <c r="R18" i="2"/>
  <c r="R19" i="2"/>
  <c r="BC18" i="2"/>
  <c r="BC19" i="2"/>
  <c r="BD18" i="2"/>
  <c r="BD19" i="2"/>
  <c r="Q18" i="2"/>
  <c r="Q19" i="2"/>
  <c r="AR18" i="2"/>
  <c r="AR19" i="2"/>
  <c r="P18" i="2"/>
  <c r="P19" i="2"/>
  <c r="M18" i="2"/>
  <c r="M19" i="2"/>
  <c r="BB18" i="2"/>
  <c r="BB19" i="2"/>
  <c r="AU18" i="2"/>
  <c r="AU19" i="2"/>
  <c r="L76" i="3"/>
  <c r="F117" i="3"/>
  <c r="I117" i="3" s="1"/>
  <c r="K117" i="3" s="1"/>
  <c r="O55" i="3" l="1"/>
  <c r="O56" i="3" s="1"/>
  <c r="B246" i="2" s="1"/>
  <c r="L80" i="3"/>
  <c r="L81" i="3" s="1"/>
  <c r="C15" i="2"/>
  <c r="N40" i="3" s="1"/>
  <c r="AX288" i="2"/>
  <c r="AS288" i="2"/>
  <c r="X288" i="2"/>
  <c r="BM288" i="2"/>
  <c r="AM288" i="2"/>
  <c r="BE288" i="2"/>
  <c r="Z288" i="2"/>
  <c r="O288" i="2"/>
  <c r="BK288" i="2"/>
  <c r="BA288" i="2"/>
  <c r="BJ288" i="2"/>
  <c r="AY288" i="2"/>
  <c r="J288" i="2"/>
  <c r="AF288" i="2"/>
  <c r="AG288" i="2"/>
  <c r="AT288" i="2"/>
  <c r="R288" i="2"/>
  <c r="T288" i="2"/>
  <c r="AI288" i="2"/>
  <c r="AK288" i="2"/>
  <c r="BB288" i="2"/>
  <c r="V288" i="2"/>
  <c r="AE288" i="2"/>
  <c r="Q288" i="2"/>
  <c r="AZ288" i="2"/>
  <c r="BL288" i="2"/>
  <c r="AH288" i="2"/>
  <c r="BC288" i="2"/>
  <c r="BD288" i="2"/>
  <c r="AB288" i="2"/>
  <c r="Y288" i="2"/>
  <c r="I288" i="2"/>
  <c r="BF288" i="2"/>
  <c r="S288" i="2"/>
  <c r="AU288" i="2"/>
  <c r="U288" i="2"/>
  <c r="AC288" i="2"/>
  <c r="BG288" i="2"/>
  <c r="BN288" i="2"/>
  <c r="AA288" i="2"/>
  <c r="AJ288" i="2"/>
  <c r="L288" i="2"/>
  <c r="AP288" i="2"/>
  <c r="AR288" i="2"/>
  <c r="W288" i="2"/>
  <c r="AW288" i="2"/>
  <c r="N288" i="2"/>
  <c r="AL288" i="2"/>
  <c r="AQ288" i="2"/>
  <c r="M288" i="2"/>
  <c r="K288" i="2"/>
  <c r="BH288" i="2"/>
  <c r="AD288" i="2"/>
  <c r="AN288" i="2"/>
  <c r="BI288" i="2"/>
  <c r="AV288" i="2"/>
  <c r="P288" i="2"/>
  <c r="Q34" i="3"/>
  <c r="Q33" i="3"/>
  <c r="Q44" i="3" s="1"/>
  <c r="C18" i="2"/>
  <c r="C19" i="2"/>
  <c r="AO288" i="2"/>
  <c r="M76" i="3"/>
  <c r="F120" i="3"/>
  <c r="I120" i="3" s="1"/>
  <c r="K120" i="3" s="1"/>
  <c r="D121" i="3"/>
  <c r="G121" i="3" s="1"/>
  <c r="J121" i="3" s="1"/>
  <c r="D122" i="3"/>
  <c r="G122" i="3" s="1"/>
  <c r="J122" i="3" s="1"/>
  <c r="D123" i="3"/>
  <c r="G123" i="3" s="1"/>
  <c r="J123" i="3" s="1"/>
  <c r="D124" i="3"/>
  <c r="G124" i="3" s="1"/>
  <c r="J124" i="3" s="1"/>
  <c r="F119" i="3"/>
  <c r="I119" i="3" s="1"/>
  <c r="K119" i="3" s="1"/>
  <c r="J128" i="3"/>
  <c r="F125" i="3"/>
  <c r="B239" i="2" l="1"/>
  <c r="B247" i="2" s="1"/>
  <c r="P20" i="3"/>
  <c r="O59" i="3"/>
  <c r="I243" i="2" s="1"/>
  <c r="O243" i="2" s="1"/>
  <c r="C243" i="2" s="1"/>
  <c r="P19" i="3"/>
  <c r="BO288" i="2"/>
  <c r="M81" i="3"/>
  <c r="M80" i="3"/>
  <c r="I125" i="3"/>
  <c r="F124" i="3"/>
  <c r="I124" i="3" s="1"/>
  <c r="K124" i="3" s="1"/>
  <c r="F121" i="3"/>
  <c r="I121" i="3" s="1"/>
  <c r="K121" i="3" s="1"/>
  <c r="F123" i="3"/>
  <c r="I123" i="3" s="1"/>
  <c r="K123" i="3" s="1"/>
  <c r="C69" i="2"/>
  <c r="F122" i="3"/>
  <c r="I122" i="3" s="1"/>
  <c r="K122" i="3" s="1"/>
  <c r="K125" i="3" l="1"/>
  <c r="K128" i="3" s="1"/>
  <c r="T236" i="2"/>
  <c r="M78" i="2"/>
  <c r="Q78" i="2"/>
  <c r="U78" i="2"/>
  <c r="Y78" i="2"/>
  <c r="AC78" i="2"/>
  <c r="AG78" i="2"/>
  <c r="AK78" i="2"/>
  <c r="AO78" i="2"/>
  <c r="AS78" i="2"/>
  <c r="AW78" i="2"/>
  <c r="BA78" i="2"/>
  <c r="BE78" i="2"/>
  <c r="BI78" i="2"/>
  <c r="BM78" i="2"/>
  <c r="BQ78" i="2"/>
  <c r="P79" i="2"/>
  <c r="T79" i="2"/>
  <c r="X79" i="2"/>
  <c r="AB79" i="2"/>
  <c r="AF79" i="2"/>
  <c r="AJ79" i="2"/>
  <c r="AN79" i="2"/>
  <c r="AR79" i="2"/>
  <c r="AV79" i="2"/>
  <c r="AZ79" i="2"/>
  <c r="BD79" i="2"/>
  <c r="BH79" i="2"/>
  <c r="BL79" i="2"/>
  <c r="BP79" i="2"/>
  <c r="O80" i="2"/>
  <c r="S80" i="2"/>
  <c r="W80" i="2"/>
  <c r="AA80" i="2"/>
  <c r="AE80" i="2"/>
  <c r="AI80" i="2"/>
  <c r="AM80" i="2"/>
  <c r="AQ80" i="2"/>
  <c r="AU80" i="2"/>
  <c r="AY80" i="2"/>
  <c r="BC80" i="2"/>
  <c r="BG80" i="2"/>
  <c r="BK80" i="2"/>
  <c r="BO80" i="2"/>
  <c r="N81" i="2"/>
  <c r="R81" i="2"/>
  <c r="V81" i="2"/>
  <c r="Z81" i="2"/>
  <c r="AD81" i="2"/>
  <c r="AH81" i="2"/>
  <c r="AL81" i="2"/>
  <c r="AP81" i="2"/>
  <c r="AT81" i="2"/>
  <c r="AX81" i="2"/>
  <c r="BB81" i="2"/>
  <c r="BF81" i="2"/>
  <c r="BJ81" i="2"/>
  <c r="BN81" i="2"/>
  <c r="E78" i="2"/>
  <c r="I78" i="2"/>
  <c r="E79" i="2"/>
  <c r="I79" i="2"/>
  <c r="E80" i="2"/>
  <c r="I80" i="2"/>
  <c r="E81" i="2"/>
  <c r="I81" i="2"/>
  <c r="X78" i="2"/>
  <c r="AB78" i="2"/>
  <c r="AJ78" i="2"/>
  <c r="N78" i="2"/>
  <c r="R78" i="2"/>
  <c r="V78" i="2"/>
  <c r="Z78" i="2"/>
  <c r="AD78" i="2"/>
  <c r="AH78" i="2"/>
  <c r="AL78" i="2"/>
  <c r="AP78" i="2"/>
  <c r="AT78" i="2"/>
  <c r="AX78" i="2"/>
  <c r="BB78" i="2"/>
  <c r="BF78" i="2"/>
  <c r="BJ78" i="2"/>
  <c r="BN78" i="2"/>
  <c r="M79" i="2"/>
  <c r="Q79" i="2"/>
  <c r="U79" i="2"/>
  <c r="Y79" i="2"/>
  <c r="AC79" i="2"/>
  <c r="AG79" i="2"/>
  <c r="AK79" i="2"/>
  <c r="AO79" i="2"/>
  <c r="AS79" i="2"/>
  <c r="AW79" i="2"/>
  <c r="BA79" i="2"/>
  <c r="BE79" i="2"/>
  <c r="BI79" i="2"/>
  <c r="BM79" i="2"/>
  <c r="BQ79" i="2"/>
  <c r="P80" i="2"/>
  <c r="T80" i="2"/>
  <c r="X80" i="2"/>
  <c r="AB80" i="2"/>
  <c r="AF80" i="2"/>
  <c r="AJ80" i="2"/>
  <c r="AN80" i="2"/>
  <c r="AR80" i="2"/>
  <c r="AV80" i="2"/>
  <c r="AZ80" i="2"/>
  <c r="BD80" i="2"/>
  <c r="BH80" i="2"/>
  <c r="BL80" i="2"/>
  <c r="BP80" i="2"/>
  <c r="O81" i="2"/>
  <c r="S81" i="2"/>
  <c r="W81" i="2"/>
  <c r="AA81" i="2"/>
  <c r="AE81" i="2"/>
  <c r="AI81" i="2"/>
  <c r="AM81" i="2"/>
  <c r="AQ81" i="2"/>
  <c r="AU81" i="2"/>
  <c r="AY81" i="2"/>
  <c r="BC81" i="2"/>
  <c r="BG81" i="2"/>
  <c r="BK81" i="2"/>
  <c r="BO81" i="2"/>
  <c r="F78" i="2"/>
  <c r="J78" i="2"/>
  <c r="F79" i="2"/>
  <c r="J79" i="2"/>
  <c r="F80" i="2"/>
  <c r="J80" i="2"/>
  <c r="F81" i="2"/>
  <c r="J81" i="2"/>
  <c r="O78" i="2"/>
  <c r="S78" i="2"/>
  <c r="W78" i="2"/>
  <c r="AA78" i="2"/>
  <c r="AE78" i="2"/>
  <c r="AI78" i="2"/>
  <c r="AM78" i="2"/>
  <c r="AQ78" i="2"/>
  <c r="AU78" i="2"/>
  <c r="AY78" i="2"/>
  <c r="BC78" i="2"/>
  <c r="BG78" i="2"/>
  <c r="BK78" i="2"/>
  <c r="BO78" i="2"/>
  <c r="N79" i="2"/>
  <c r="R79" i="2"/>
  <c r="V79" i="2"/>
  <c r="Z79" i="2"/>
  <c r="AD79" i="2"/>
  <c r="AH79" i="2"/>
  <c r="AL79" i="2"/>
  <c r="AP79" i="2"/>
  <c r="AT79" i="2"/>
  <c r="AX79" i="2"/>
  <c r="BB79" i="2"/>
  <c r="BF79" i="2"/>
  <c r="BJ79" i="2"/>
  <c r="BN79" i="2"/>
  <c r="M80" i="2"/>
  <c r="Q80" i="2"/>
  <c r="U80" i="2"/>
  <c r="Y80" i="2"/>
  <c r="AC80" i="2"/>
  <c r="AG80" i="2"/>
  <c r="AK80" i="2"/>
  <c r="AO80" i="2"/>
  <c r="AS80" i="2"/>
  <c r="AW80" i="2"/>
  <c r="BA80" i="2"/>
  <c r="BE80" i="2"/>
  <c r="BI80" i="2"/>
  <c r="BM80" i="2"/>
  <c r="BQ80" i="2"/>
  <c r="P81" i="2"/>
  <c r="T81" i="2"/>
  <c r="X81" i="2"/>
  <c r="AB81" i="2"/>
  <c r="AF81" i="2"/>
  <c r="AJ81" i="2"/>
  <c r="AN81" i="2"/>
  <c r="AR81" i="2"/>
  <c r="AV81" i="2"/>
  <c r="AZ81" i="2"/>
  <c r="BD81" i="2"/>
  <c r="BH81" i="2"/>
  <c r="BL81" i="2"/>
  <c r="BP81" i="2"/>
  <c r="G78" i="2"/>
  <c r="K78" i="2"/>
  <c r="G79" i="2"/>
  <c r="K79" i="2"/>
  <c r="G80" i="2"/>
  <c r="K80" i="2"/>
  <c r="G81" i="2"/>
  <c r="K81" i="2"/>
  <c r="P78" i="2"/>
  <c r="AF78" i="2"/>
  <c r="AN78" i="2"/>
  <c r="AV78" i="2"/>
  <c r="T78" i="2"/>
  <c r="BH78" i="2"/>
  <c r="S79" i="2"/>
  <c r="AI79" i="2"/>
  <c r="AY79" i="2"/>
  <c r="BO79" i="2"/>
  <c r="Z80" i="2"/>
  <c r="AP80" i="2"/>
  <c r="BF80" i="2"/>
  <c r="Q81" i="2"/>
  <c r="AG81" i="2"/>
  <c r="AW81" i="2"/>
  <c r="BM81" i="2"/>
  <c r="H79" i="2"/>
  <c r="H81" i="2"/>
  <c r="O79" i="2"/>
  <c r="AU79" i="2"/>
  <c r="AL80" i="2"/>
  <c r="AS81" i="2"/>
  <c r="L80" i="2"/>
  <c r="AR78" i="2"/>
  <c r="BL78" i="2"/>
  <c r="W79" i="2"/>
  <c r="AM79" i="2"/>
  <c r="BC79" i="2"/>
  <c r="N80" i="2"/>
  <c r="AD80" i="2"/>
  <c r="AT80" i="2"/>
  <c r="BJ80" i="2"/>
  <c r="U81" i="2"/>
  <c r="AK81" i="2"/>
  <c r="BA81" i="2"/>
  <c r="BQ81" i="2"/>
  <c r="L79" i="2"/>
  <c r="L81" i="2"/>
  <c r="AE79" i="2"/>
  <c r="V80" i="2"/>
  <c r="M81" i="2"/>
  <c r="BI81" i="2"/>
  <c r="AZ78" i="2"/>
  <c r="BP78" i="2"/>
  <c r="AA79" i="2"/>
  <c r="AQ79" i="2"/>
  <c r="BG79" i="2"/>
  <c r="R80" i="2"/>
  <c r="AH80" i="2"/>
  <c r="AX80" i="2"/>
  <c r="BN80" i="2"/>
  <c r="Y81" i="2"/>
  <c r="AO81" i="2"/>
  <c r="BE81" i="2"/>
  <c r="H78" i="2"/>
  <c r="H80" i="2"/>
  <c r="BD78" i="2"/>
  <c r="BK79" i="2"/>
  <c r="BB80" i="2"/>
  <c r="AC81" i="2"/>
  <c r="L78" i="2"/>
  <c r="L82" i="3"/>
  <c r="M82" i="3" s="1"/>
  <c r="R236" i="2"/>
  <c r="AI236" i="2"/>
  <c r="Q236" i="2"/>
  <c r="AF236" i="2"/>
  <c r="AK236" i="2"/>
  <c r="G236" i="2"/>
  <c r="U236" i="2"/>
  <c r="AS236" i="2"/>
  <c r="W236" i="2"/>
  <c r="L236" i="2"/>
  <c r="J236" i="2"/>
  <c r="AC236" i="2"/>
  <c r="N236" i="2"/>
  <c r="AQ236" i="2"/>
  <c r="AO236" i="2"/>
  <c r="Z236" i="2"/>
  <c r="AR236" i="2"/>
  <c r="I236" i="2"/>
  <c r="AJ236" i="2"/>
  <c r="H236" i="2"/>
  <c r="AA236" i="2"/>
  <c r="AG236" i="2"/>
  <c r="K236" i="2"/>
  <c r="O236" i="2"/>
  <c r="AB236" i="2"/>
  <c r="E236" i="2"/>
  <c r="AH236" i="2"/>
  <c r="AL236" i="2"/>
  <c r="AD236" i="2"/>
  <c r="AZ236" i="2"/>
  <c r="AT236" i="2"/>
  <c r="BA236" i="2"/>
  <c r="AU236" i="2"/>
  <c r="AW236" i="2"/>
  <c r="AX236" i="2"/>
  <c r="BE236" i="2"/>
  <c r="AV236" i="2"/>
  <c r="BD236" i="2"/>
  <c r="BB236" i="2"/>
  <c r="AY236" i="2"/>
  <c r="BF236" i="2"/>
  <c r="BC236" i="2"/>
  <c r="AN236" i="2"/>
  <c r="X236" i="2"/>
  <c r="F236" i="2"/>
  <c r="P236" i="2"/>
  <c r="AP236" i="2"/>
  <c r="AE236" i="2"/>
  <c r="S236" i="2"/>
  <c r="Y236" i="2"/>
  <c r="M236" i="2"/>
  <c r="V236" i="2"/>
  <c r="AM236" i="2"/>
  <c r="AM74" i="2"/>
  <c r="AN74" i="2"/>
  <c r="U74" i="2"/>
  <c r="X74" i="2"/>
  <c r="X75" i="2" s="1"/>
  <c r="S74" i="2"/>
  <c r="O74" i="2"/>
  <c r="Q74" i="2"/>
  <c r="AK74" i="2"/>
  <c r="AK222" i="2" s="1"/>
  <c r="I74" i="2"/>
  <c r="AS74" i="2"/>
  <c r="AS75" i="2" s="1"/>
  <c r="BO74" i="2"/>
  <c r="AW74" i="2"/>
  <c r="BI74" i="2"/>
  <c r="AV74" i="2"/>
  <c r="BF74" i="2"/>
  <c r="BB74" i="2"/>
  <c r="AT74" i="2"/>
  <c r="BQ74" i="2"/>
  <c r="BJ74" i="2"/>
  <c r="BA74" i="2"/>
  <c r="AX74" i="2"/>
  <c r="AU74" i="2"/>
  <c r="BC74" i="2"/>
  <c r="BK74" i="2"/>
  <c r="AY74" i="2"/>
  <c r="BH74" i="2"/>
  <c r="BE74" i="2"/>
  <c r="BL74" i="2"/>
  <c r="BG74" i="2"/>
  <c r="BM74" i="2"/>
  <c r="BN74" i="2"/>
  <c r="BD74" i="2"/>
  <c r="BP74" i="2"/>
  <c r="AZ74" i="2"/>
  <c r="M74" i="2"/>
  <c r="AD74" i="2"/>
  <c r="F74" i="2"/>
  <c r="F75" i="2" s="1"/>
  <c r="AF74" i="2"/>
  <c r="W74" i="2"/>
  <c r="K74" i="2"/>
  <c r="AE74" i="2"/>
  <c r="AH74" i="2"/>
  <c r="V74" i="2"/>
  <c r="Y74" i="2"/>
  <c r="D74" i="2"/>
  <c r="R74" i="2"/>
  <c r="AA74" i="2"/>
  <c r="AA75" i="2" s="1"/>
  <c r="E74" i="2"/>
  <c r="E75" i="2" s="1"/>
  <c r="J74" i="2"/>
  <c r="AP74" i="2"/>
  <c r="P74" i="2"/>
  <c r="T74" i="2"/>
  <c r="AR74" i="2"/>
  <c r="AR75" i="2" s="1"/>
  <c r="AC74" i="2"/>
  <c r="AC75" i="2" s="1"/>
  <c r="AO74" i="2"/>
  <c r="AO75" i="2" s="1"/>
  <c r="AL74" i="2"/>
  <c r="H74" i="2"/>
  <c r="N74" i="2"/>
  <c r="N75" i="2" s="1"/>
  <c r="AQ74" i="2"/>
  <c r="Z74" i="2"/>
  <c r="G74" i="2"/>
  <c r="AB74" i="2"/>
  <c r="AB75" i="2" s="1"/>
  <c r="AJ74" i="2"/>
  <c r="AI74" i="2"/>
  <c r="L74" i="2"/>
  <c r="L75" i="2" s="1"/>
  <c r="AG74" i="2"/>
  <c r="AG75" i="2" s="1"/>
  <c r="C271" i="2"/>
  <c r="D81" i="2"/>
  <c r="D80" i="2"/>
  <c r="D79" i="2"/>
  <c r="D78" i="2"/>
  <c r="L83" i="3" l="1"/>
  <c r="M83" i="3" s="1"/>
  <c r="AK75" i="2"/>
  <c r="C236" i="2"/>
  <c r="E237" i="2"/>
  <c r="F237" i="2" s="1"/>
  <c r="G237" i="2" s="1"/>
  <c r="H237" i="2" s="1"/>
  <c r="I237" i="2" s="1"/>
  <c r="J237" i="2" s="1"/>
  <c r="K237" i="2" s="1"/>
  <c r="L237" i="2" s="1"/>
  <c r="M237" i="2" s="1"/>
  <c r="N237" i="2" s="1"/>
  <c r="O237" i="2" s="1"/>
  <c r="P237" i="2" s="1"/>
  <c r="Q237" i="2" s="1"/>
  <c r="R237" i="2" s="1"/>
  <c r="S237" i="2" s="1"/>
  <c r="T237" i="2" s="1"/>
  <c r="U237" i="2" s="1"/>
  <c r="V237" i="2" s="1"/>
  <c r="W237" i="2" s="1"/>
  <c r="X237" i="2" s="1"/>
  <c r="Y237" i="2" s="1"/>
  <c r="Z237" i="2" s="1"/>
  <c r="AA237" i="2" s="1"/>
  <c r="AB237" i="2" s="1"/>
  <c r="AC237" i="2" s="1"/>
  <c r="AD237" i="2" s="1"/>
  <c r="AA222" i="2"/>
  <c r="AB222" i="2"/>
  <c r="F222" i="2"/>
  <c r="AR222" i="2"/>
  <c r="X222" i="2"/>
  <c r="E222" i="2"/>
  <c r="AO222" i="2"/>
  <c r="AG222" i="2"/>
  <c r="AC222" i="2"/>
  <c r="L222" i="2"/>
  <c r="AS222" i="2"/>
  <c r="N222" i="2"/>
  <c r="T75" i="2"/>
  <c r="T222" i="2"/>
  <c r="BC75" i="2"/>
  <c r="BC222" i="2"/>
  <c r="Y75" i="2"/>
  <c r="Y222" i="2"/>
  <c r="S75" i="2"/>
  <c r="S222" i="2"/>
  <c r="O75" i="2"/>
  <c r="O222" i="2"/>
  <c r="H75" i="2"/>
  <c r="H222" i="2"/>
  <c r="BB75" i="2"/>
  <c r="BB222" i="2"/>
  <c r="AZ75" i="2"/>
  <c r="AZ222" i="2"/>
  <c r="I75" i="2"/>
  <c r="I222" i="2"/>
  <c r="AH75" i="2"/>
  <c r="AH222" i="2"/>
  <c r="Q75" i="2"/>
  <c r="Q222" i="2"/>
  <c r="V75" i="2"/>
  <c r="V222" i="2"/>
  <c r="R75" i="2"/>
  <c r="R222" i="2"/>
  <c r="J75" i="2"/>
  <c r="J222" i="2"/>
  <c r="BI75" i="2"/>
  <c r="BI222" i="2"/>
  <c r="BK75" i="2"/>
  <c r="BK222" i="2"/>
  <c r="AM75" i="2"/>
  <c r="AM222" i="2"/>
  <c r="BO75" i="2"/>
  <c r="BO222" i="2"/>
  <c r="C74" i="2"/>
  <c r="D75" i="2"/>
  <c r="D222" i="2"/>
  <c r="AU75" i="2"/>
  <c r="AU222" i="2"/>
  <c r="AY75" i="2"/>
  <c r="AY222" i="2"/>
  <c r="W75" i="2"/>
  <c r="W222" i="2"/>
  <c r="BP75" i="2"/>
  <c r="BP222" i="2"/>
  <c r="BN75" i="2"/>
  <c r="BN222" i="2"/>
  <c r="BL75" i="2"/>
  <c r="BL222" i="2"/>
  <c r="C78" i="2"/>
  <c r="D92" i="2"/>
  <c r="AD75" i="2"/>
  <c r="AD222" i="2"/>
  <c r="AQ75" i="2"/>
  <c r="AQ222" i="2"/>
  <c r="BD75" i="2"/>
  <c r="BD222" i="2"/>
  <c r="U75" i="2"/>
  <c r="U222" i="2"/>
  <c r="K75" i="2"/>
  <c r="K222" i="2"/>
  <c r="AX75" i="2"/>
  <c r="AX222" i="2"/>
  <c r="AJ75" i="2"/>
  <c r="AJ222" i="2"/>
  <c r="AN75" i="2"/>
  <c r="AN222" i="2"/>
  <c r="BM75" i="2"/>
  <c r="BM222" i="2"/>
  <c r="M75" i="2"/>
  <c r="M222" i="2"/>
  <c r="C79" i="2"/>
  <c r="D223" i="2"/>
  <c r="C80" i="2"/>
  <c r="P75" i="2"/>
  <c r="P222" i="2"/>
  <c r="AI75" i="2"/>
  <c r="AI222" i="2"/>
  <c r="BA75" i="2"/>
  <c r="BA222" i="2"/>
  <c r="AL75" i="2"/>
  <c r="AL222" i="2"/>
  <c r="BE75" i="2"/>
  <c r="BE222" i="2"/>
  <c r="G75" i="2"/>
  <c r="G222" i="2"/>
  <c r="AW75" i="2"/>
  <c r="AW222" i="2"/>
  <c r="AT75" i="2"/>
  <c r="AT222" i="2"/>
  <c r="AP75" i="2"/>
  <c r="AP222" i="2"/>
  <c r="AE75" i="2"/>
  <c r="AE222" i="2"/>
  <c r="Z75" i="2"/>
  <c r="Z222" i="2"/>
  <c r="BG75" i="2"/>
  <c r="BG222" i="2"/>
  <c r="BQ75" i="2"/>
  <c r="BQ222" i="2"/>
  <c r="BJ75" i="2"/>
  <c r="BJ222" i="2"/>
  <c r="BF75" i="2"/>
  <c r="BF222" i="2"/>
  <c r="AV75" i="2"/>
  <c r="AV222" i="2"/>
  <c r="BH75" i="2"/>
  <c r="BH222" i="2"/>
  <c r="C81" i="2"/>
  <c r="AF75" i="2"/>
  <c r="AF222" i="2"/>
  <c r="BK118" i="2" l="1"/>
  <c r="AF118" i="2"/>
  <c r="BI118" i="2"/>
  <c r="BM118" i="2"/>
  <c r="AX118" i="2"/>
  <c r="BQ118" i="2"/>
  <c r="AI118" i="2"/>
  <c r="T118" i="2"/>
  <c r="V118" i="2"/>
  <c r="AQ118" i="2"/>
  <c r="BP118" i="2"/>
  <c r="AV118" i="2"/>
  <c r="U118" i="2"/>
  <c r="AL118" i="2"/>
  <c r="AS118" i="2"/>
  <c r="Y118" i="2"/>
  <c r="L118" i="2"/>
  <c r="BG118" i="2"/>
  <c r="AR118" i="2"/>
  <c r="AM118" i="2"/>
  <c r="Z118" i="2"/>
  <c r="AU118" i="2"/>
  <c r="S118" i="2"/>
  <c r="M118" i="2"/>
  <c r="AA118" i="2"/>
  <c r="AJ118" i="2"/>
  <c r="AN118" i="2"/>
  <c r="AT118" i="2"/>
  <c r="BF118" i="2"/>
  <c r="Q118" i="2"/>
  <c r="BN118" i="2"/>
  <c r="AY118" i="2"/>
  <c r="BD118" i="2"/>
  <c r="AD118" i="2"/>
  <c r="BB118" i="2"/>
  <c r="AG118" i="2"/>
  <c r="J118" i="2"/>
  <c r="AB118" i="2"/>
  <c r="K118" i="2"/>
  <c r="AW118" i="2"/>
  <c r="AH118" i="2"/>
  <c r="AP118" i="2"/>
  <c r="O118" i="2"/>
  <c r="BH118" i="2"/>
  <c r="AZ118" i="2"/>
  <c r="AC118" i="2"/>
  <c r="X118" i="2"/>
  <c r="W118" i="2"/>
  <c r="BE118" i="2"/>
  <c r="AE118" i="2"/>
  <c r="N118" i="2"/>
  <c r="BL118" i="2"/>
  <c r="R118" i="2"/>
  <c r="BO118" i="2"/>
  <c r="BJ118" i="2"/>
  <c r="AO118" i="2"/>
  <c r="AK118" i="2"/>
  <c r="P118" i="2"/>
  <c r="BC118" i="2"/>
  <c r="BA118" i="2"/>
  <c r="AE237" i="2"/>
  <c r="AF237" i="2" s="1"/>
  <c r="AD239" i="2"/>
  <c r="D94" i="2"/>
  <c r="C75" i="2"/>
  <c r="J117" i="2" s="1"/>
  <c r="Z320" i="2"/>
  <c r="Z242" i="2"/>
  <c r="Y241" i="2"/>
  <c r="Z241" i="2" s="1"/>
  <c r="Y242" i="2"/>
  <c r="Y320" i="2"/>
  <c r="Y322" i="2" s="1"/>
  <c r="C222" i="2"/>
  <c r="C118" i="2" l="1"/>
  <c r="G14" i="5" s="1"/>
  <c r="H14" i="5" s="1"/>
  <c r="K117" i="2"/>
  <c r="AE117" i="2"/>
  <c r="AA117" i="2"/>
  <c r="V117" i="2"/>
  <c r="AF117" i="2"/>
  <c r="AI117" i="2"/>
  <c r="BC117" i="2"/>
  <c r="AU117" i="2"/>
  <c r="BH117" i="2"/>
  <c r="AM117" i="2"/>
  <c r="X117" i="2"/>
  <c r="BE117" i="2"/>
  <c r="AH117" i="2"/>
  <c r="U117" i="2"/>
  <c r="Z117" i="2"/>
  <c r="AW117" i="2"/>
  <c r="AY117" i="2"/>
  <c r="AQ117" i="2"/>
  <c r="BA117" i="2"/>
  <c r="AO117" i="2"/>
  <c r="AR117" i="2"/>
  <c r="L117" i="2"/>
  <c r="BJ117" i="2"/>
  <c r="BG117" i="2"/>
  <c r="AN117" i="2"/>
  <c r="BF117" i="2"/>
  <c r="T117" i="2"/>
  <c r="AD117" i="2"/>
  <c r="O117" i="2"/>
  <c r="M117" i="2"/>
  <c r="AV117" i="2"/>
  <c r="BI117" i="2"/>
  <c r="AC117" i="2"/>
  <c r="BK117" i="2"/>
  <c r="AS117" i="2"/>
  <c r="Y117" i="2"/>
  <c r="BB117" i="2"/>
  <c r="AZ117" i="2"/>
  <c r="AL117" i="2"/>
  <c r="W117" i="2"/>
  <c r="AT117" i="2"/>
  <c r="AX117" i="2"/>
  <c r="AG117" i="2"/>
  <c r="AB117" i="2"/>
  <c r="AP117" i="2"/>
  <c r="S117" i="2"/>
  <c r="N117" i="2"/>
  <c r="P117" i="2"/>
  <c r="R117" i="2"/>
  <c r="Q117" i="2"/>
  <c r="AJ117" i="2"/>
  <c r="BD117" i="2"/>
  <c r="AK117" i="2"/>
  <c r="C272" i="2"/>
  <c r="S68" i="3"/>
  <c r="AF239" i="2"/>
  <c r="AG237" i="2"/>
  <c r="AA242" i="2"/>
  <c r="AA241" i="2"/>
  <c r="AA320" i="2"/>
  <c r="C117" i="2" l="1"/>
  <c r="S70" i="3"/>
  <c r="S71" i="3"/>
  <c r="S69" i="3"/>
  <c r="AG239" i="2"/>
  <c r="AH237" i="2"/>
  <c r="AB241" i="2"/>
  <c r="AB320" i="2"/>
  <c r="AB242" i="2"/>
  <c r="C116" i="2" l="1"/>
  <c r="G13" i="5"/>
  <c r="AI237" i="2"/>
  <c r="AH239" i="2"/>
  <c r="AD240" i="2"/>
  <c r="H13" i="5" l="1"/>
  <c r="L46" i="5"/>
  <c r="L47" i="5" s="1"/>
  <c r="G12" i="5"/>
  <c r="AJ237" i="2"/>
  <c r="AI239" i="2"/>
  <c r="AC320" i="2"/>
  <c r="AC241" i="2"/>
  <c r="AD241" i="2" s="1"/>
  <c r="AC242" i="2"/>
  <c r="AD242" i="2"/>
  <c r="AD320" i="2"/>
  <c r="AE239" i="2"/>
  <c r="AE240" i="2" s="1"/>
  <c r="AJ239" i="2" l="1"/>
  <c r="AK237" i="2"/>
  <c r="AF240" i="2"/>
  <c r="AE241" i="2"/>
  <c r="AE242" i="2"/>
  <c r="AE320" i="2"/>
  <c r="AL237" i="2" l="1"/>
  <c r="AK239" i="2"/>
  <c r="AG240" i="2"/>
  <c r="AF241" i="2"/>
  <c r="AF320" i="2"/>
  <c r="AF242" i="2"/>
  <c r="AM237" i="2" l="1"/>
  <c r="AL239" i="2"/>
  <c r="AG241" i="2"/>
  <c r="AG320" i="2"/>
  <c r="AG242" i="2"/>
  <c r="AH240" i="2"/>
  <c r="AN237" i="2" l="1"/>
  <c r="AM239" i="2"/>
  <c r="AI240" i="2"/>
  <c r="AH241" i="2"/>
  <c r="AH320" i="2"/>
  <c r="AH242" i="2"/>
  <c r="AO237" i="2" l="1"/>
  <c r="AN239" i="2"/>
  <c r="AJ240" i="2"/>
  <c r="AI241" i="2"/>
  <c r="AI320" i="2"/>
  <c r="AI242" i="2"/>
  <c r="AP237" i="2" l="1"/>
  <c r="AO239" i="2"/>
  <c r="AJ241" i="2"/>
  <c r="AJ320" i="2"/>
  <c r="AJ242" i="2"/>
  <c r="AK240" i="2"/>
  <c r="AQ237" i="2" l="1"/>
  <c r="AP239" i="2"/>
  <c r="AL240" i="2"/>
  <c r="AK320" i="2"/>
  <c r="AK242" i="2"/>
  <c r="AK241" i="2"/>
  <c r="AQ239" i="2" l="1"/>
  <c r="AR237" i="2"/>
  <c r="AL241" i="2"/>
  <c r="AL320" i="2"/>
  <c r="AL242" i="2"/>
  <c r="AM240" i="2"/>
  <c r="AS237" i="2" l="1"/>
  <c r="AR239" i="2"/>
  <c r="AN240" i="2"/>
  <c r="AM320" i="2"/>
  <c r="AM241" i="2"/>
  <c r="AM242" i="2"/>
  <c r="AS239" i="2" l="1"/>
  <c r="AT237" i="2"/>
  <c r="AN241" i="2"/>
  <c r="AN242" i="2"/>
  <c r="AN320" i="2"/>
  <c r="AO240" i="2"/>
  <c r="AU237" i="2" l="1"/>
  <c r="AT239" i="2"/>
  <c r="AO241" i="2"/>
  <c r="AO320" i="2"/>
  <c r="AO242" i="2"/>
  <c r="AP240" i="2"/>
  <c r="AV237" i="2" l="1"/>
  <c r="AU239" i="2"/>
  <c r="AQ240" i="2"/>
  <c r="AP242" i="2"/>
  <c r="AP320" i="2"/>
  <c r="AP241" i="2"/>
  <c r="AV239" i="2" l="1"/>
  <c r="AW237" i="2"/>
  <c r="AQ241" i="2"/>
  <c r="AQ242" i="2"/>
  <c r="AQ320" i="2"/>
  <c r="AR240" i="2"/>
  <c r="AX237" i="2" l="1"/>
  <c r="AW239" i="2"/>
  <c r="AR320" i="2"/>
  <c r="AR241" i="2"/>
  <c r="AR242" i="2"/>
  <c r="AS240" i="2"/>
  <c r="AY237" i="2" l="1"/>
  <c r="AX239" i="2"/>
  <c r="AS320" i="2"/>
  <c r="AS242" i="2"/>
  <c r="AS241" i="2"/>
  <c r="AT241" i="2" s="1"/>
  <c r="AU241" i="2" s="1"/>
  <c r="AV241" i="2" s="1"/>
  <c r="AW241" i="2" s="1"/>
  <c r="AX241" i="2" s="1"/>
  <c r="AY241" i="2" s="1"/>
  <c r="AZ241" i="2" s="1"/>
  <c r="BA241" i="2" s="1"/>
  <c r="BB241" i="2" s="1"/>
  <c r="BC241" i="2" s="1"/>
  <c r="BD241" i="2" s="1"/>
  <c r="BE241" i="2" s="1"/>
  <c r="BF241" i="2" s="1"/>
  <c r="BG241" i="2" s="1"/>
  <c r="BH241" i="2" s="1"/>
  <c r="BI241" i="2" s="1"/>
  <c r="BJ241" i="2" s="1"/>
  <c r="BK241" i="2" s="1"/>
  <c r="BL241" i="2" s="1"/>
  <c r="BM241" i="2" s="1"/>
  <c r="BN241" i="2" s="1"/>
  <c r="BO241" i="2" s="1"/>
  <c r="BP241" i="2" s="1"/>
  <c r="BQ241" i="2" s="1"/>
  <c r="C240" i="2"/>
  <c r="AZ237" i="2" l="1"/>
  <c r="AY239" i="2"/>
  <c r="C242" i="2"/>
  <c r="AS246" i="2" s="1"/>
  <c r="BA237" i="2" l="1"/>
  <c r="AZ239" i="2"/>
  <c r="Y246" i="2"/>
  <c r="Z246" i="2"/>
  <c r="AA246" i="2"/>
  <c r="AB246" i="2"/>
  <c r="AD246" i="2"/>
  <c r="AC246" i="2"/>
  <c r="AE246" i="2"/>
  <c r="AF246" i="2"/>
  <c r="AG246" i="2"/>
  <c r="AH246" i="2"/>
  <c r="AI246" i="2"/>
  <c r="AJ246" i="2"/>
  <c r="AK246" i="2"/>
  <c r="AL246" i="2"/>
  <c r="AM246" i="2"/>
  <c r="AN246" i="2"/>
  <c r="AO246" i="2"/>
  <c r="AP246" i="2"/>
  <c r="AQ246" i="2"/>
  <c r="AR246" i="2"/>
  <c r="BB237" i="2" l="1"/>
  <c r="BA239" i="2"/>
  <c r="C246" i="2"/>
  <c r="Y248" i="2"/>
  <c r="Z250" i="2" s="1"/>
  <c r="BB239" i="2" l="1"/>
  <c r="BC237" i="2"/>
  <c r="Z248" i="2"/>
  <c r="AA250" i="2" s="1"/>
  <c r="AA321" i="2" s="1"/>
  <c r="AA322" i="2" s="1"/>
  <c r="Z321" i="2"/>
  <c r="Z322" i="2" s="1"/>
  <c r="BD237" i="2" l="1"/>
  <c r="BC239" i="2"/>
  <c r="AA248" i="2"/>
  <c r="AB250" i="2" s="1"/>
  <c r="BE237" i="2" l="1"/>
  <c r="BD239" i="2"/>
  <c r="AB248" i="2"/>
  <c r="AC250" i="2" s="1"/>
  <c r="AC321" i="2" s="1"/>
  <c r="AC322" i="2" s="1"/>
  <c r="AB321" i="2"/>
  <c r="AB322" i="2" s="1"/>
  <c r="BF237" i="2" l="1"/>
  <c r="BF239" i="2" s="1"/>
  <c r="BE239" i="2"/>
  <c r="AC248" i="2"/>
  <c r="AD250" i="2" s="1"/>
  <c r="AD321" i="2" s="1"/>
  <c r="AD322" i="2" s="1"/>
  <c r="C239" i="2" l="1"/>
  <c r="AD248" i="2"/>
  <c r="AE250" i="2" s="1"/>
  <c r="AE321" i="2" s="1"/>
  <c r="AE322" i="2" s="1"/>
  <c r="AE248" i="2" l="1"/>
  <c r="AF250" i="2" s="1"/>
  <c r="AF321" i="2" s="1"/>
  <c r="AF322" i="2" s="1"/>
  <c r="AF248" i="2" l="1"/>
  <c r="AG250" i="2" s="1"/>
  <c r="AG321" i="2" s="1"/>
  <c r="AG322" i="2" s="1"/>
  <c r="AG248" i="2" l="1"/>
  <c r="AH250" i="2" s="1"/>
  <c r="AH321" i="2" s="1"/>
  <c r="AH322" i="2" s="1"/>
  <c r="AH248" i="2" l="1"/>
  <c r="AI250" i="2" s="1"/>
  <c r="AI321" i="2" s="1"/>
  <c r="AI322" i="2" s="1"/>
  <c r="AI248" i="2" l="1"/>
  <c r="AJ250" i="2" s="1"/>
  <c r="AJ321" i="2" s="1"/>
  <c r="AJ322" i="2" s="1"/>
  <c r="AJ248" i="2" l="1"/>
  <c r="AK250" i="2" s="1"/>
  <c r="AK321" i="2" s="1"/>
  <c r="AK322" i="2" s="1"/>
  <c r="AK248" i="2" l="1"/>
  <c r="AL250" i="2" s="1"/>
  <c r="AL321" i="2" s="1"/>
  <c r="AL322" i="2" s="1"/>
  <c r="AL248" i="2" l="1"/>
  <c r="AM250" i="2" s="1"/>
  <c r="AM321" i="2" s="1"/>
  <c r="AM322" i="2" s="1"/>
  <c r="O13" i="3"/>
  <c r="AE101" i="2" l="1"/>
  <c r="AF137" i="2" s="1"/>
  <c r="E103" i="2"/>
  <c r="I103" i="2"/>
  <c r="G104" i="2"/>
  <c r="D104" i="2"/>
  <c r="G102" i="2"/>
  <c r="F103" i="2"/>
  <c r="H104" i="2"/>
  <c r="D103" i="2"/>
  <c r="H102" i="2"/>
  <c r="G103" i="2"/>
  <c r="E104" i="2"/>
  <c r="I104" i="2"/>
  <c r="E102" i="2"/>
  <c r="I102" i="2"/>
  <c r="H103" i="2"/>
  <c r="G101" i="2"/>
  <c r="D101" i="2"/>
  <c r="D102" i="2"/>
  <c r="H101" i="2"/>
  <c r="E101" i="2"/>
  <c r="I101" i="2"/>
  <c r="F104" i="2"/>
  <c r="F102" i="2"/>
  <c r="F101" i="2"/>
  <c r="G108" i="2"/>
  <c r="I109" i="2"/>
  <c r="E111" i="2"/>
  <c r="D109" i="2"/>
  <c r="I111" i="2"/>
  <c r="F110" i="2"/>
  <c r="D110" i="2"/>
  <c r="I108" i="2"/>
  <c r="G111" i="2"/>
  <c r="I110" i="2"/>
  <c r="E108" i="2"/>
  <c r="H110" i="2"/>
  <c r="F109" i="2"/>
  <c r="G110" i="2"/>
  <c r="F108" i="2"/>
  <c r="D108" i="2"/>
  <c r="H109" i="2"/>
  <c r="F111" i="2"/>
  <c r="E110" i="2"/>
  <c r="G109" i="2"/>
  <c r="E109" i="2"/>
  <c r="H108" i="2"/>
  <c r="D111" i="2"/>
  <c r="H111" i="2"/>
  <c r="P36" i="3"/>
  <c r="BN103" i="2"/>
  <c r="BK109" i="2"/>
  <c r="BP109" i="2"/>
  <c r="BO109" i="2"/>
  <c r="BO103" i="2"/>
  <c r="BK103" i="2"/>
  <c r="BP104" i="2"/>
  <c r="BN108" i="2"/>
  <c r="BN104" i="2"/>
  <c r="BK111" i="2"/>
  <c r="BP111" i="2"/>
  <c r="BO111" i="2"/>
  <c r="BO104" i="2"/>
  <c r="BK104" i="2"/>
  <c r="BP102" i="2"/>
  <c r="BN110" i="2"/>
  <c r="BN102" i="2"/>
  <c r="BK108" i="2"/>
  <c r="BP110" i="2"/>
  <c r="BO108" i="2"/>
  <c r="BO102" i="2"/>
  <c r="BK102" i="2"/>
  <c r="BP103" i="2"/>
  <c r="BN109" i="2"/>
  <c r="BN101" i="2"/>
  <c r="BK110" i="2"/>
  <c r="BP108" i="2"/>
  <c r="BO110" i="2"/>
  <c r="BO101" i="2"/>
  <c r="BK101" i="2"/>
  <c r="BP101" i="2"/>
  <c r="BN111" i="2"/>
  <c r="BQ108" i="2"/>
  <c r="BL109" i="2"/>
  <c r="BM108" i="2"/>
  <c r="BQ104" i="2"/>
  <c r="BL104" i="2"/>
  <c r="BM104" i="2"/>
  <c r="AX109" i="2"/>
  <c r="W110" i="2"/>
  <c r="BA108" i="2"/>
  <c r="AO108" i="2"/>
  <c r="Z109" i="2"/>
  <c r="BD104" i="2"/>
  <c r="BJ104" i="2"/>
  <c r="BE103" i="2"/>
  <c r="AH104" i="2"/>
  <c r="AP104" i="2"/>
  <c r="AJ104" i="2"/>
  <c r="T104" i="2"/>
  <c r="AC103" i="2"/>
  <c r="BI103" i="2"/>
  <c r="AW103" i="2"/>
  <c r="AD104" i="2"/>
  <c r="K104" i="2"/>
  <c r="AZ104" i="2"/>
  <c r="AY104" i="2"/>
  <c r="AB104" i="2"/>
  <c r="P104" i="2"/>
  <c r="AF104" i="2"/>
  <c r="AU104" i="2"/>
  <c r="AM104" i="2"/>
  <c r="U103" i="2"/>
  <c r="BG104" i="2"/>
  <c r="X104" i="2"/>
  <c r="J109" i="2"/>
  <c r="BH109" i="2"/>
  <c r="AS108" i="2"/>
  <c r="AX104" i="2"/>
  <c r="W104" i="2"/>
  <c r="J104" i="2"/>
  <c r="BA103" i="2"/>
  <c r="AO103" i="2"/>
  <c r="Z104" i="2"/>
  <c r="BC109" i="2"/>
  <c r="R109" i="2"/>
  <c r="AR109" i="2"/>
  <c r="AK108" i="2"/>
  <c r="BF109" i="2"/>
  <c r="O104" i="2"/>
  <c r="AE109" i="2"/>
  <c r="V109" i="2"/>
  <c r="AA110" i="2"/>
  <c r="AT109" i="2"/>
  <c r="AQ109" i="2"/>
  <c r="L110" i="2"/>
  <c r="AG108" i="2"/>
  <c r="Y108" i="2"/>
  <c r="AV109" i="2"/>
  <c r="BH104" i="2"/>
  <c r="AI109" i="2"/>
  <c r="AL109" i="2"/>
  <c r="AN109" i="2"/>
  <c r="S110" i="2"/>
  <c r="N109" i="2"/>
  <c r="BB109" i="2"/>
  <c r="BC104" i="2"/>
  <c r="R104" i="2"/>
  <c r="AR104" i="2"/>
  <c r="AK103" i="2"/>
  <c r="BF104" i="2"/>
  <c r="O110" i="2"/>
  <c r="AE104" i="2"/>
  <c r="V104" i="2"/>
  <c r="AA104" i="2"/>
  <c r="AT104" i="2"/>
  <c r="AQ104" i="2"/>
  <c r="L104" i="2"/>
  <c r="AG103" i="2"/>
  <c r="Y103" i="2"/>
  <c r="AV104" i="2"/>
  <c r="AS103" i="2"/>
  <c r="M108" i="2"/>
  <c r="Q108" i="2"/>
  <c r="BG109" i="2"/>
  <c r="X109" i="2"/>
  <c r="AI104" i="2"/>
  <c r="M103" i="2"/>
  <c r="AL104" i="2"/>
  <c r="Q103" i="2"/>
  <c r="AN104" i="2"/>
  <c r="S104" i="2"/>
  <c r="N104" i="2"/>
  <c r="BB104" i="2"/>
  <c r="BD109" i="2"/>
  <c r="BJ109" i="2"/>
  <c r="BE108" i="2"/>
  <c r="AH109" i="2"/>
  <c r="AP109" i="2"/>
  <c r="AJ109" i="2"/>
  <c r="T110" i="2"/>
  <c r="AC108" i="2"/>
  <c r="BI108" i="2"/>
  <c r="AW108" i="2"/>
  <c r="AD109" i="2"/>
  <c r="K110" i="2"/>
  <c r="AZ109" i="2"/>
  <c r="BQ110" i="2"/>
  <c r="BL111" i="2"/>
  <c r="BM110" i="2"/>
  <c r="BQ102" i="2"/>
  <c r="BL102" i="2"/>
  <c r="BM102" i="2"/>
  <c r="AX108" i="2"/>
  <c r="W109" i="2"/>
  <c r="BA110" i="2"/>
  <c r="AO110" i="2"/>
  <c r="Z108" i="2"/>
  <c r="BD103" i="2"/>
  <c r="BJ103" i="2"/>
  <c r="BE102" i="2"/>
  <c r="AH103" i="2"/>
  <c r="AP103" i="2"/>
  <c r="AJ103" i="2"/>
  <c r="T103" i="2"/>
  <c r="AC102" i="2"/>
  <c r="AD151" i="2" s="1"/>
  <c r="BI102" i="2"/>
  <c r="AW102" i="2"/>
  <c r="AD103" i="2"/>
  <c r="K103" i="2"/>
  <c r="AZ103" i="2"/>
  <c r="AY103" i="2"/>
  <c r="AB103" i="2"/>
  <c r="P103" i="2"/>
  <c r="AF103" i="2"/>
  <c r="AU103" i="2"/>
  <c r="AM103" i="2"/>
  <c r="U102" i="2"/>
  <c r="V151" i="2" s="1"/>
  <c r="BG103" i="2"/>
  <c r="X103" i="2"/>
  <c r="J108" i="2"/>
  <c r="BH108" i="2"/>
  <c r="AS109" i="2"/>
  <c r="AX103" i="2"/>
  <c r="W103" i="2"/>
  <c r="J103" i="2"/>
  <c r="BA102" i="2"/>
  <c r="AO102" i="2"/>
  <c r="AP151" i="2" s="1"/>
  <c r="Z103" i="2"/>
  <c r="BC108" i="2"/>
  <c r="R108" i="2"/>
  <c r="AR110" i="2"/>
  <c r="AK110" i="2"/>
  <c r="BF108" i="2"/>
  <c r="O103" i="2"/>
  <c r="AE108" i="2"/>
  <c r="V108" i="2"/>
  <c r="AA109" i="2"/>
  <c r="AT108" i="2"/>
  <c r="AQ108" i="2"/>
  <c r="L109" i="2"/>
  <c r="AG110" i="2"/>
  <c r="Y110" i="2"/>
  <c r="AV110" i="2"/>
  <c r="BH103" i="2"/>
  <c r="AI108" i="2"/>
  <c r="AL108" i="2"/>
  <c r="AN108" i="2"/>
  <c r="S109" i="2"/>
  <c r="N108" i="2"/>
  <c r="BB108" i="2"/>
  <c r="BC103" i="2"/>
  <c r="R103" i="2"/>
  <c r="AR103" i="2"/>
  <c r="AK102" i="2"/>
  <c r="AL151" i="2" s="1"/>
  <c r="BF103" i="2"/>
  <c r="O109" i="2"/>
  <c r="AE103" i="2"/>
  <c r="V103" i="2"/>
  <c r="AA103" i="2"/>
  <c r="AT103" i="2"/>
  <c r="AQ103" i="2"/>
  <c r="L103" i="2"/>
  <c r="AG102" i="2"/>
  <c r="AH151" i="2" s="1"/>
  <c r="Y102" i="2"/>
  <c r="Z151" i="2" s="1"/>
  <c r="AV103" i="2"/>
  <c r="AS102" i="2"/>
  <c r="M110" i="2"/>
  <c r="Q110" i="2"/>
  <c r="BG108" i="2"/>
  <c r="X108" i="2"/>
  <c r="AI103" i="2"/>
  <c r="M102" i="2"/>
  <c r="N151" i="2" s="1"/>
  <c r="AL103" i="2"/>
  <c r="Q102" i="2"/>
  <c r="R151" i="2" s="1"/>
  <c r="AN103" i="2"/>
  <c r="S103" i="2"/>
  <c r="N103" i="2"/>
  <c r="BB103" i="2"/>
  <c r="BD108" i="2"/>
  <c r="BJ108" i="2"/>
  <c r="BE110" i="2"/>
  <c r="AH108" i="2"/>
  <c r="AP108" i="2"/>
  <c r="AJ110" i="2"/>
  <c r="T109" i="2"/>
  <c r="AC110" i="2"/>
  <c r="BI109" i="2"/>
  <c r="AW110" i="2"/>
  <c r="AD108" i="2"/>
  <c r="K109" i="2"/>
  <c r="BQ109" i="2"/>
  <c r="BL108" i="2"/>
  <c r="BM109" i="2"/>
  <c r="BQ101" i="2"/>
  <c r="BL103" i="2"/>
  <c r="BM103" i="2"/>
  <c r="AX111" i="2"/>
  <c r="W108" i="2"/>
  <c r="BA111" i="2"/>
  <c r="AO109" i="2"/>
  <c r="Z110" i="2"/>
  <c r="BD102" i="2"/>
  <c r="BJ102" i="2"/>
  <c r="BE101" i="2"/>
  <c r="AH102" i="2"/>
  <c r="AI151" i="2" s="1"/>
  <c r="AP102" i="2"/>
  <c r="AQ151" i="2" s="1"/>
  <c r="AJ102" i="2"/>
  <c r="AK151" i="2" s="1"/>
  <c r="T102" i="2"/>
  <c r="U151" i="2" s="1"/>
  <c r="AC101" i="2"/>
  <c r="BI101" i="2"/>
  <c r="AW101" i="2"/>
  <c r="AD102" i="2"/>
  <c r="AE151" i="2" s="1"/>
  <c r="K102" i="2"/>
  <c r="L151" i="2" s="1"/>
  <c r="AZ102" i="2"/>
  <c r="AY102" i="2"/>
  <c r="AB102" i="2"/>
  <c r="AC151" i="2" s="1"/>
  <c r="P102" i="2"/>
  <c r="Q151" i="2" s="1"/>
  <c r="AF102" i="2"/>
  <c r="AG151" i="2" s="1"/>
  <c r="AU102" i="2"/>
  <c r="AM102" i="2"/>
  <c r="AN151" i="2" s="1"/>
  <c r="U101" i="2"/>
  <c r="BG102" i="2"/>
  <c r="X102" i="2"/>
  <c r="Y151" i="2" s="1"/>
  <c r="J111" i="2"/>
  <c r="BH110" i="2"/>
  <c r="AS110" i="2"/>
  <c r="AX102" i="2"/>
  <c r="W102" i="2"/>
  <c r="X151" i="2" s="1"/>
  <c r="J102" i="2"/>
  <c r="K151" i="2" s="1"/>
  <c r="BA101" i="2"/>
  <c r="AO101" i="2"/>
  <c r="Z102" i="2"/>
  <c r="AA151" i="2" s="1"/>
  <c r="BC111" i="2"/>
  <c r="R111" i="2"/>
  <c r="AR108" i="2"/>
  <c r="AK111" i="2"/>
  <c r="BF111" i="2"/>
  <c r="O102" i="2"/>
  <c r="P151" i="2" s="1"/>
  <c r="AE111" i="2"/>
  <c r="V111" i="2"/>
  <c r="AA108" i="2"/>
  <c r="AT111" i="2"/>
  <c r="AQ111" i="2"/>
  <c r="L108" i="2"/>
  <c r="AG109" i="2"/>
  <c r="Y109" i="2"/>
  <c r="AV108" i="2"/>
  <c r="BH102" i="2"/>
  <c r="AI111" i="2"/>
  <c r="AL111" i="2"/>
  <c r="AN110" i="2"/>
  <c r="S108" i="2"/>
  <c r="N110" i="2"/>
  <c r="BB111" i="2"/>
  <c r="BC102" i="2"/>
  <c r="R102" i="2"/>
  <c r="S151" i="2" s="1"/>
  <c r="AR102" i="2"/>
  <c r="AS151" i="2" s="1"/>
  <c r="AK101" i="2"/>
  <c r="BF102" i="2"/>
  <c r="O108" i="2"/>
  <c r="AE102" i="2"/>
  <c r="AF151" i="2" s="1"/>
  <c r="V102" i="2"/>
  <c r="W151" i="2" s="1"/>
  <c r="AA102" i="2"/>
  <c r="AB151" i="2" s="1"/>
  <c r="AT102" i="2"/>
  <c r="AQ102" i="2"/>
  <c r="AR151" i="2" s="1"/>
  <c r="L102" i="2"/>
  <c r="M151" i="2" s="1"/>
  <c r="AG101" i="2"/>
  <c r="Y101" i="2"/>
  <c r="AV102" i="2"/>
  <c r="AS101" i="2"/>
  <c r="M109" i="2"/>
  <c r="Q109" i="2"/>
  <c r="BG111" i="2"/>
  <c r="X110" i="2"/>
  <c r="AI102" i="2"/>
  <c r="AJ151" i="2" s="1"/>
  <c r="M101" i="2"/>
  <c r="AL102" i="2"/>
  <c r="AM151" i="2" s="1"/>
  <c r="Q101" i="2"/>
  <c r="AN102" i="2"/>
  <c r="AO151" i="2" s="1"/>
  <c r="S102" i="2"/>
  <c r="T151" i="2" s="1"/>
  <c r="N102" i="2"/>
  <c r="O151" i="2" s="1"/>
  <c r="BB102" i="2"/>
  <c r="BD110" i="2"/>
  <c r="BJ111" i="2"/>
  <c r="BE109" i="2"/>
  <c r="AH111" i="2"/>
  <c r="AP111" i="2"/>
  <c r="AJ108" i="2"/>
  <c r="T108" i="2"/>
  <c r="AC109" i="2"/>
  <c r="BI110" i="2"/>
  <c r="AW109" i="2"/>
  <c r="AD111" i="2"/>
  <c r="BQ111" i="2"/>
  <c r="BL110" i="2"/>
  <c r="BM111" i="2"/>
  <c r="BQ103" i="2"/>
  <c r="BL101" i="2"/>
  <c r="BM101" i="2"/>
  <c r="AX110" i="2"/>
  <c r="W111" i="2"/>
  <c r="BA109" i="2"/>
  <c r="AO111" i="2"/>
  <c r="Z111" i="2"/>
  <c r="BD101" i="2"/>
  <c r="BJ101" i="2"/>
  <c r="BE104" i="2"/>
  <c r="AH101" i="2"/>
  <c r="AP101" i="2"/>
  <c r="AJ101" i="2"/>
  <c r="T101" i="2"/>
  <c r="AC104" i="2"/>
  <c r="BI104" i="2"/>
  <c r="AW104" i="2"/>
  <c r="AD101" i="2"/>
  <c r="K101" i="2"/>
  <c r="AZ101" i="2"/>
  <c r="AY101" i="2"/>
  <c r="AB101" i="2"/>
  <c r="P101" i="2"/>
  <c r="AF101" i="2"/>
  <c r="AU101" i="2"/>
  <c r="AM101" i="2"/>
  <c r="U104" i="2"/>
  <c r="BG101" i="2"/>
  <c r="X101" i="2"/>
  <c r="J110" i="2"/>
  <c r="BH111" i="2"/>
  <c r="AS111" i="2"/>
  <c r="AX101" i="2"/>
  <c r="W101" i="2"/>
  <c r="J101" i="2"/>
  <c r="K132" i="2" s="1"/>
  <c r="BA104" i="2"/>
  <c r="AO104" i="2"/>
  <c r="Z101" i="2"/>
  <c r="BC110" i="2"/>
  <c r="R110" i="2"/>
  <c r="AR111" i="2"/>
  <c r="AK109" i="2"/>
  <c r="BF110" i="2"/>
  <c r="O101" i="2"/>
  <c r="AE110" i="2"/>
  <c r="V110" i="2"/>
  <c r="AA111" i="2"/>
  <c r="AT110" i="2"/>
  <c r="AQ110" i="2"/>
  <c r="L111" i="2"/>
  <c r="AG111" i="2"/>
  <c r="Y111" i="2"/>
  <c r="AV111" i="2"/>
  <c r="BH101" i="2"/>
  <c r="AI110" i="2"/>
  <c r="AL110" i="2"/>
  <c r="AN111" i="2"/>
  <c r="S111" i="2"/>
  <c r="N111" i="2"/>
  <c r="BB110" i="2"/>
  <c r="BC101" i="2"/>
  <c r="R101" i="2"/>
  <c r="AR101" i="2"/>
  <c r="AK104" i="2"/>
  <c r="BF101" i="2"/>
  <c r="O111" i="2"/>
  <c r="V101" i="2"/>
  <c r="AA101" i="2"/>
  <c r="AT101" i="2"/>
  <c r="AQ101" i="2"/>
  <c r="L101" i="2"/>
  <c r="AG104" i="2"/>
  <c r="Y104" i="2"/>
  <c r="AV101" i="2"/>
  <c r="AS104" i="2"/>
  <c r="M111" i="2"/>
  <c r="Q111" i="2"/>
  <c r="BG110" i="2"/>
  <c r="X111" i="2"/>
  <c r="AI101" i="2"/>
  <c r="M104" i="2"/>
  <c r="AL101" i="2"/>
  <c r="Q104" i="2"/>
  <c r="AN101" i="2"/>
  <c r="S101" i="2"/>
  <c r="N101" i="2"/>
  <c r="BB101" i="2"/>
  <c r="BD111" i="2"/>
  <c r="BJ110" i="2"/>
  <c r="BE111" i="2"/>
  <c r="AH110" i="2"/>
  <c r="AP110" i="2"/>
  <c r="AJ111" i="2"/>
  <c r="T111" i="2"/>
  <c r="AC111" i="2"/>
  <c r="BI111" i="2"/>
  <c r="AW111" i="2"/>
  <c r="AD110" i="2"/>
  <c r="K111" i="2"/>
  <c r="K108" i="2"/>
  <c r="AY109" i="2"/>
  <c r="AB109" i="2"/>
  <c r="P110" i="2"/>
  <c r="AF109" i="2"/>
  <c r="AU109" i="2"/>
  <c r="AM109" i="2"/>
  <c r="U108" i="2"/>
  <c r="AZ110" i="2"/>
  <c r="AY108" i="2"/>
  <c r="AB108" i="2"/>
  <c r="P109" i="2"/>
  <c r="AF110" i="2"/>
  <c r="AU108" i="2"/>
  <c r="AM108" i="2"/>
  <c r="U110" i="2"/>
  <c r="AZ111" i="2"/>
  <c r="AY111" i="2"/>
  <c r="AB110" i="2"/>
  <c r="P108" i="2"/>
  <c r="AF108" i="2"/>
  <c r="AU111" i="2"/>
  <c r="AM111" i="2"/>
  <c r="U111" i="2"/>
  <c r="AZ108" i="2"/>
  <c r="AY110" i="2"/>
  <c r="AB111" i="2"/>
  <c r="P111" i="2"/>
  <c r="AF111" i="2"/>
  <c r="AU110" i="2"/>
  <c r="AM110" i="2"/>
  <c r="U109" i="2"/>
  <c r="AM248" i="2"/>
  <c r="AN250" i="2" s="1"/>
  <c r="B224" i="2"/>
  <c r="E105" i="2" l="1"/>
  <c r="G105" i="2"/>
  <c r="AF132" i="2"/>
  <c r="AF142" i="2"/>
  <c r="BN204" i="2"/>
  <c r="BO205" i="2"/>
  <c r="BM205" i="2"/>
  <c r="BL204" i="2"/>
  <c r="BK204" i="2"/>
  <c r="BL205" i="2"/>
  <c r="BN205" i="2"/>
  <c r="BM204" i="2"/>
  <c r="BQ205" i="2"/>
  <c r="BP204" i="2"/>
  <c r="BP205" i="2"/>
  <c r="BO204" i="2"/>
  <c r="AH199" i="2"/>
  <c r="AH189" i="2"/>
  <c r="AH194" i="2"/>
  <c r="AL194" i="2"/>
  <c r="AL189" i="2"/>
  <c r="AL199" i="2"/>
  <c r="BB194" i="2"/>
  <c r="BB199" i="2"/>
  <c r="BB189" i="2"/>
  <c r="BJ204" i="2"/>
  <c r="BK205" i="2"/>
  <c r="T194" i="2"/>
  <c r="T199" i="2"/>
  <c r="T189" i="2"/>
  <c r="AU189" i="2"/>
  <c r="AU194" i="2"/>
  <c r="AU199" i="2"/>
  <c r="S189" i="2"/>
  <c r="S194" i="2"/>
  <c r="S199" i="2"/>
  <c r="BI204" i="2"/>
  <c r="BJ205" i="2"/>
  <c r="AA194" i="2"/>
  <c r="AA199" i="2"/>
  <c r="AA189" i="2"/>
  <c r="X199" i="2"/>
  <c r="X194" i="2"/>
  <c r="X189" i="2"/>
  <c r="AN199" i="2"/>
  <c r="AN194" i="2"/>
  <c r="AN189" i="2"/>
  <c r="AC194" i="2"/>
  <c r="AC199" i="2"/>
  <c r="AC189" i="2"/>
  <c r="AE189" i="2"/>
  <c r="AE194" i="2"/>
  <c r="AE199" i="2"/>
  <c r="U189" i="2"/>
  <c r="U199" i="2"/>
  <c r="U194" i="2"/>
  <c r="R194" i="2"/>
  <c r="R199" i="2"/>
  <c r="R189" i="2"/>
  <c r="AT189" i="2"/>
  <c r="AT194" i="2"/>
  <c r="AT199" i="2"/>
  <c r="V194" i="2"/>
  <c r="V199" i="2"/>
  <c r="V189" i="2"/>
  <c r="AD194" i="2"/>
  <c r="AD189" i="2"/>
  <c r="AD199" i="2"/>
  <c r="AO194" i="2"/>
  <c r="AO199" i="2"/>
  <c r="AO189" i="2"/>
  <c r="AJ194" i="2"/>
  <c r="AJ199" i="2"/>
  <c r="AJ189" i="2"/>
  <c r="AB189" i="2"/>
  <c r="AB194" i="2"/>
  <c r="AB199" i="2"/>
  <c r="BH205" i="2"/>
  <c r="BG204" i="2"/>
  <c r="BD199" i="2"/>
  <c r="BD194" i="2"/>
  <c r="BD189" i="2"/>
  <c r="AY189" i="2"/>
  <c r="AY194" i="2"/>
  <c r="AY199" i="2"/>
  <c r="Y194" i="2"/>
  <c r="Y199" i="2"/>
  <c r="Y189" i="2"/>
  <c r="AV189" i="2"/>
  <c r="AV194" i="2"/>
  <c r="AV199" i="2"/>
  <c r="AZ194" i="2"/>
  <c r="AZ199" i="2"/>
  <c r="AZ189" i="2"/>
  <c r="AK189" i="2"/>
  <c r="AK194" i="2"/>
  <c r="AK199" i="2"/>
  <c r="BG205" i="2"/>
  <c r="BF204" i="2"/>
  <c r="BC194" i="2"/>
  <c r="BC199" i="2"/>
  <c r="BC189" i="2"/>
  <c r="M194" i="2"/>
  <c r="M199" i="2"/>
  <c r="M189" i="2"/>
  <c r="W194" i="2"/>
  <c r="W199" i="2"/>
  <c r="W189" i="2"/>
  <c r="P189" i="2"/>
  <c r="P194" i="2"/>
  <c r="P199" i="2"/>
  <c r="BI205" i="2"/>
  <c r="BH204" i="2"/>
  <c r="AG199" i="2"/>
  <c r="AG194" i="2"/>
  <c r="AG189" i="2"/>
  <c r="BA189" i="2"/>
  <c r="BA199" i="2"/>
  <c r="BA194" i="2"/>
  <c r="AQ194" i="2"/>
  <c r="AQ199" i="2"/>
  <c r="AQ189" i="2"/>
  <c r="BE194" i="2"/>
  <c r="BE199" i="2"/>
  <c r="BE189" i="2"/>
  <c r="N199" i="2"/>
  <c r="N194" i="2"/>
  <c r="N189" i="2"/>
  <c r="Z199" i="2"/>
  <c r="Z194" i="2"/>
  <c r="Z189" i="2"/>
  <c r="AP199" i="2"/>
  <c r="AP194" i="2"/>
  <c r="AP189" i="2"/>
  <c r="AX199" i="2"/>
  <c r="AX194" i="2"/>
  <c r="AX189" i="2"/>
  <c r="O189" i="2"/>
  <c r="O194" i="2"/>
  <c r="O199" i="2"/>
  <c r="AM194" i="2"/>
  <c r="AM199" i="2"/>
  <c r="AM189" i="2"/>
  <c r="AW199" i="2"/>
  <c r="AW194" i="2"/>
  <c r="AW189" i="2"/>
  <c r="AR189" i="2"/>
  <c r="AR194" i="2"/>
  <c r="AR199" i="2"/>
  <c r="AF189" i="2"/>
  <c r="AF194" i="2"/>
  <c r="AF199" i="2"/>
  <c r="AS194" i="2"/>
  <c r="AS199" i="2"/>
  <c r="AS189" i="2"/>
  <c r="BG196" i="2"/>
  <c r="BH201" i="2"/>
  <c r="L195" i="2"/>
  <c r="L200" i="2"/>
  <c r="K189" i="2"/>
  <c r="K194" i="2"/>
  <c r="BH196" i="2"/>
  <c r="BF196" i="2"/>
  <c r="BG191" i="2"/>
  <c r="L190" i="2"/>
  <c r="M190" i="2" s="1"/>
  <c r="N190" i="2" s="1"/>
  <c r="O190" i="2" s="1"/>
  <c r="P190" i="2" s="1"/>
  <c r="Q190" i="2" s="1"/>
  <c r="R190" i="2" s="1"/>
  <c r="S190" i="2" s="1"/>
  <c r="T190" i="2" s="1"/>
  <c r="U190" i="2" s="1"/>
  <c r="V190" i="2" s="1"/>
  <c r="W190" i="2" s="1"/>
  <c r="X190" i="2" s="1"/>
  <c r="Y190" i="2" s="1"/>
  <c r="Z190" i="2" s="1"/>
  <c r="AA190" i="2" s="1"/>
  <c r="AB190" i="2" s="1"/>
  <c r="AC190" i="2" s="1"/>
  <c r="AD190" i="2" s="1"/>
  <c r="AE190" i="2" s="1"/>
  <c r="AF190" i="2" s="1"/>
  <c r="AG190" i="2" s="1"/>
  <c r="AH190" i="2" s="1"/>
  <c r="AI190" i="2" s="1"/>
  <c r="AJ190" i="2" s="1"/>
  <c r="AK190" i="2" s="1"/>
  <c r="AL190" i="2" s="1"/>
  <c r="AM190" i="2" s="1"/>
  <c r="AN190" i="2" s="1"/>
  <c r="AO190" i="2" s="1"/>
  <c r="AP190" i="2" s="1"/>
  <c r="AQ190" i="2" s="1"/>
  <c r="AR190" i="2" s="1"/>
  <c r="AS190" i="2" s="1"/>
  <c r="AT190" i="2" s="1"/>
  <c r="AU190" i="2" s="1"/>
  <c r="AV190" i="2" s="1"/>
  <c r="AW190" i="2" s="1"/>
  <c r="AX190" i="2" s="1"/>
  <c r="AY190" i="2" s="1"/>
  <c r="AZ190" i="2" s="1"/>
  <c r="BA190" i="2" s="1"/>
  <c r="BB190" i="2" s="1"/>
  <c r="BC190" i="2" s="1"/>
  <c r="BD190" i="2" s="1"/>
  <c r="BE190" i="2" s="1"/>
  <c r="BF190" i="2" s="1"/>
  <c r="BG201" i="2"/>
  <c r="K199" i="2"/>
  <c r="BF201" i="2"/>
  <c r="BH191" i="2"/>
  <c r="BF191" i="2"/>
  <c r="Q199" i="2"/>
  <c r="Q194" i="2"/>
  <c r="Q189" i="2"/>
  <c r="L189" i="2"/>
  <c r="L194" i="2"/>
  <c r="L199" i="2"/>
  <c r="AI189" i="2"/>
  <c r="AI194" i="2"/>
  <c r="AI199" i="2"/>
  <c r="BF185" i="2"/>
  <c r="BG186" i="2"/>
  <c r="BL185" i="2"/>
  <c r="BM186" i="2"/>
  <c r="BN185" i="2"/>
  <c r="BO186" i="2"/>
  <c r="BI185" i="2"/>
  <c r="BJ186" i="2"/>
  <c r="BG185" i="2"/>
  <c r="BH186" i="2"/>
  <c r="BD185" i="2"/>
  <c r="BE186" i="2"/>
  <c r="AZ185" i="2"/>
  <c r="BA186" i="2"/>
  <c r="BK185" i="2"/>
  <c r="BL186" i="2"/>
  <c r="BB185" i="2"/>
  <c r="BC186" i="2"/>
  <c r="BJ185" i="2"/>
  <c r="BK186" i="2"/>
  <c r="BP185" i="2"/>
  <c r="BQ186" i="2"/>
  <c r="BO185" i="2"/>
  <c r="BP186" i="2"/>
  <c r="BM185" i="2"/>
  <c r="BN186" i="2"/>
  <c r="BC185" i="2"/>
  <c r="BD186" i="2"/>
  <c r="BH185" i="2"/>
  <c r="BI186" i="2"/>
  <c r="BA185" i="2"/>
  <c r="BB186" i="2"/>
  <c r="BE185" i="2"/>
  <c r="BF186" i="2"/>
  <c r="O180" i="2"/>
  <c r="O170" i="2"/>
  <c r="O175" i="2"/>
  <c r="AM170" i="2"/>
  <c r="AM175" i="2"/>
  <c r="AM180" i="2"/>
  <c r="AW175" i="2"/>
  <c r="AW170" i="2"/>
  <c r="AW180" i="2"/>
  <c r="AR175" i="2"/>
  <c r="AR170" i="2"/>
  <c r="AR180" i="2"/>
  <c r="AF170" i="2"/>
  <c r="AF180" i="2"/>
  <c r="AF175" i="2"/>
  <c r="AS180" i="2"/>
  <c r="AS170" i="2"/>
  <c r="AS175" i="2"/>
  <c r="L181" i="2"/>
  <c r="M181" i="2" s="1"/>
  <c r="N181" i="2" s="1"/>
  <c r="O181" i="2" s="1"/>
  <c r="P181" i="2" s="1"/>
  <c r="Q181" i="2" s="1"/>
  <c r="R181" i="2" s="1"/>
  <c r="S181" i="2" s="1"/>
  <c r="T181" i="2" s="1"/>
  <c r="U181" i="2" s="1"/>
  <c r="V181" i="2" s="1"/>
  <c r="W181" i="2" s="1"/>
  <c r="X181" i="2" s="1"/>
  <c r="Y181" i="2" s="1"/>
  <c r="Z181" i="2" s="1"/>
  <c r="AA181" i="2" s="1"/>
  <c r="AB181" i="2" s="1"/>
  <c r="AC181" i="2" s="1"/>
  <c r="AD181" i="2" s="1"/>
  <c r="AE181" i="2" s="1"/>
  <c r="AF181" i="2" s="1"/>
  <c r="AG181" i="2" s="1"/>
  <c r="AH181" i="2" s="1"/>
  <c r="AI181" i="2" s="1"/>
  <c r="AJ181" i="2" s="1"/>
  <c r="AK181" i="2" s="1"/>
  <c r="AL181" i="2" s="1"/>
  <c r="AM181" i="2" s="1"/>
  <c r="AN181" i="2" s="1"/>
  <c r="AO181" i="2" s="1"/>
  <c r="AP181" i="2" s="1"/>
  <c r="AQ181" i="2" s="1"/>
  <c r="AR181" i="2" s="1"/>
  <c r="AS181" i="2" s="1"/>
  <c r="AT181" i="2" s="1"/>
  <c r="AU181" i="2" s="1"/>
  <c r="AV181" i="2" s="1"/>
  <c r="AW181" i="2" s="1"/>
  <c r="AX181" i="2" s="1"/>
  <c r="AY181" i="2" s="1"/>
  <c r="AZ181" i="2" s="1"/>
  <c r="L176" i="2"/>
  <c r="L171" i="2"/>
  <c r="M171" i="2" s="1"/>
  <c r="N171" i="2" s="1"/>
  <c r="O171" i="2" s="1"/>
  <c r="P171" i="2" s="1"/>
  <c r="Q171" i="2" s="1"/>
  <c r="R171" i="2" s="1"/>
  <c r="S171" i="2" s="1"/>
  <c r="T171" i="2" s="1"/>
  <c r="U171" i="2" s="1"/>
  <c r="V171" i="2" s="1"/>
  <c r="W171" i="2" s="1"/>
  <c r="X171" i="2" s="1"/>
  <c r="Y171" i="2" s="1"/>
  <c r="Z171" i="2" s="1"/>
  <c r="AA171" i="2" s="1"/>
  <c r="AB171" i="2" s="1"/>
  <c r="AC171" i="2" s="1"/>
  <c r="AD171" i="2" s="1"/>
  <c r="AE171" i="2" s="1"/>
  <c r="AF171" i="2" s="1"/>
  <c r="AG171" i="2" s="1"/>
  <c r="AH171" i="2" s="1"/>
  <c r="AI171" i="2" s="1"/>
  <c r="AJ171" i="2" s="1"/>
  <c r="AK171" i="2" s="1"/>
  <c r="AL171" i="2" s="1"/>
  <c r="AM171" i="2" s="1"/>
  <c r="AN171" i="2" s="1"/>
  <c r="AO171" i="2" s="1"/>
  <c r="AP171" i="2" s="1"/>
  <c r="AQ171" i="2" s="1"/>
  <c r="AR171" i="2" s="1"/>
  <c r="AS171" i="2" s="1"/>
  <c r="AT171" i="2" s="1"/>
  <c r="AU171" i="2" s="1"/>
  <c r="AV171" i="2" s="1"/>
  <c r="AW171" i="2" s="1"/>
  <c r="AX171" i="2" s="1"/>
  <c r="AY171" i="2" s="1"/>
  <c r="AZ171" i="2" s="1"/>
  <c r="K175" i="2"/>
  <c r="K170" i="2"/>
  <c r="K180" i="2"/>
  <c r="Q175" i="2"/>
  <c r="Q170" i="2"/>
  <c r="Q180" i="2"/>
  <c r="L180" i="2"/>
  <c r="L175" i="2"/>
  <c r="L170" i="2"/>
  <c r="AI175" i="2"/>
  <c r="AI170" i="2"/>
  <c r="AI180" i="2"/>
  <c r="N180" i="2"/>
  <c r="N170" i="2"/>
  <c r="N175" i="2"/>
  <c r="Z170" i="2"/>
  <c r="Z175" i="2"/>
  <c r="Z180" i="2"/>
  <c r="T175" i="2"/>
  <c r="T170" i="2"/>
  <c r="T180" i="2"/>
  <c r="AU180" i="2"/>
  <c r="AU170" i="2"/>
  <c r="AU175" i="2"/>
  <c r="S175" i="2"/>
  <c r="S170" i="2"/>
  <c r="S180" i="2"/>
  <c r="AA175" i="2"/>
  <c r="AA180" i="2"/>
  <c r="AA170" i="2"/>
  <c r="X175" i="2"/>
  <c r="X170" i="2"/>
  <c r="X180" i="2"/>
  <c r="AN175" i="2"/>
  <c r="AN170" i="2"/>
  <c r="AN180" i="2"/>
  <c r="AC180" i="2"/>
  <c r="AC170" i="2"/>
  <c r="AC175" i="2"/>
  <c r="AE170" i="2"/>
  <c r="AE175" i="2"/>
  <c r="AE180" i="2"/>
  <c r="U170" i="2"/>
  <c r="U175" i="2"/>
  <c r="U180" i="2"/>
  <c r="AH175" i="2"/>
  <c r="AH180" i="2"/>
  <c r="AH170" i="2"/>
  <c r="AP170" i="2"/>
  <c r="AP175" i="2"/>
  <c r="AP180" i="2"/>
  <c r="AX175" i="2"/>
  <c r="AX180" i="2"/>
  <c r="AX170" i="2"/>
  <c r="BA182" i="2"/>
  <c r="AZ182" i="2"/>
  <c r="BB182" i="2"/>
  <c r="BA172" i="2"/>
  <c r="AZ177" i="2"/>
  <c r="BB177" i="2"/>
  <c r="BA177" i="2"/>
  <c r="BB172" i="2"/>
  <c r="AZ172" i="2"/>
  <c r="AO180" i="2"/>
  <c r="AO175" i="2"/>
  <c r="AO170" i="2"/>
  <c r="AJ175" i="2"/>
  <c r="AJ170" i="2"/>
  <c r="AJ180" i="2"/>
  <c r="AB175" i="2"/>
  <c r="AB170" i="2"/>
  <c r="AB180" i="2"/>
  <c r="AY175" i="2"/>
  <c r="AY180" i="2"/>
  <c r="AY170" i="2"/>
  <c r="Y180" i="2"/>
  <c r="Y175" i="2"/>
  <c r="Y170" i="2"/>
  <c r="AV170" i="2"/>
  <c r="AV180" i="2"/>
  <c r="AV175" i="2"/>
  <c r="AK170" i="2"/>
  <c r="AK175" i="2"/>
  <c r="AK180" i="2"/>
  <c r="R175" i="2"/>
  <c r="R180" i="2"/>
  <c r="R170" i="2"/>
  <c r="AT170" i="2"/>
  <c r="AT180" i="2"/>
  <c r="AT175" i="2"/>
  <c r="AL175" i="2"/>
  <c r="AL170" i="2"/>
  <c r="AL180" i="2"/>
  <c r="M180" i="2"/>
  <c r="M170" i="2"/>
  <c r="M175" i="2"/>
  <c r="W180" i="2"/>
  <c r="W170" i="2"/>
  <c r="W175" i="2"/>
  <c r="P170" i="2"/>
  <c r="P180" i="2"/>
  <c r="P175" i="2"/>
  <c r="AG175" i="2"/>
  <c r="AG170" i="2"/>
  <c r="AG180" i="2"/>
  <c r="AQ180" i="2"/>
  <c r="AQ175" i="2"/>
  <c r="AQ170" i="2"/>
  <c r="V175" i="2"/>
  <c r="V170" i="2"/>
  <c r="V180" i="2"/>
  <c r="AD180" i="2"/>
  <c r="AD170" i="2"/>
  <c r="AD175" i="2"/>
  <c r="BN147" i="2"/>
  <c r="BO148" i="2"/>
  <c r="BL167" i="2"/>
  <c r="BK166" i="2"/>
  <c r="BP166" i="2"/>
  <c r="BQ167" i="2"/>
  <c r="BO166" i="2"/>
  <c r="BP167" i="2"/>
  <c r="BM166" i="2"/>
  <c r="BN167" i="2"/>
  <c r="BQ148" i="2"/>
  <c r="BP147" i="2"/>
  <c r="BP148" i="2"/>
  <c r="BO147" i="2"/>
  <c r="BM167" i="2"/>
  <c r="BL166" i="2"/>
  <c r="BO167" i="2"/>
  <c r="BN166" i="2"/>
  <c r="AO161" i="2"/>
  <c r="AJ161" i="2"/>
  <c r="AB161" i="2"/>
  <c r="Y161" i="2"/>
  <c r="AK161" i="2"/>
  <c r="V161" i="2"/>
  <c r="AD161" i="2"/>
  <c r="M161" i="2"/>
  <c r="W161" i="2"/>
  <c r="P161" i="2"/>
  <c r="AG161" i="2"/>
  <c r="AQ161" i="2"/>
  <c r="N161" i="2"/>
  <c r="Z161" i="2"/>
  <c r="O161" i="2"/>
  <c r="AM161" i="2"/>
  <c r="AR161" i="2"/>
  <c r="AF161" i="2"/>
  <c r="AS161" i="2"/>
  <c r="AU163" i="2"/>
  <c r="AV163" i="2"/>
  <c r="Q161" i="2"/>
  <c r="L161" i="2"/>
  <c r="AI161" i="2"/>
  <c r="AH161" i="2"/>
  <c r="AP161" i="2"/>
  <c r="T161" i="2"/>
  <c r="S161" i="2"/>
  <c r="AA161" i="2"/>
  <c r="X161" i="2"/>
  <c r="AN161" i="2"/>
  <c r="AC161" i="2"/>
  <c r="AE161" i="2"/>
  <c r="U161" i="2"/>
  <c r="R161" i="2"/>
  <c r="AL161" i="2"/>
  <c r="AD112" i="2"/>
  <c r="AO156" i="2"/>
  <c r="AJ156" i="2"/>
  <c r="AB156" i="2"/>
  <c r="BG166" i="2"/>
  <c r="BH167" i="2"/>
  <c r="BE167" i="2"/>
  <c r="BD166" i="2"/>
  <c r="AZ167" i="2"/>
  <c r="AY166" i="2"/>
  <c r="Y156" i="2"/>
  <c r="AV166" i="2"/>
  <c r="AW167" i="2"/>
  <c r="AZ166" i="2"/>
  <c r="BA167" i="2"/>
  <c r="AK156" i="2"/>
  <c r="V156" i="2"/>
  <c r="AD156" i="2"/>
  <c r="BC166" i="2"/>
  <c r="BD167" i="2"/>
  <c r="M156" i="2"/>
  <c r="W156" i="2"/>
  <c r="P156" i="2"/>
  <c r="BH166" i="2"/>
  <c r="BI167" i="2"/>
  <c r="AG156" i="2"/>
  <c r="BA166" i="2"/>
  <c r="BB167" i="2"/>
  <c r="AQ156" i="2"/>
  <c r="BF167" i="2"/>
  <c r="BE166" i="2"/>
  <c r="N156" i="2"/>
  <c r="Z156" i="2"/>
  <c r="BF166" i="2"/>
  <c r="BG167" i="2"/>
  <c r="O156" i="2"/>
  <c r="AM156" i="2"/>
  <c r="AX167" i="2"/>
  <c r="AW166" i="2"/>
  <c r="AR156" i="2"/>
  <c r="AF156" i="2"/>
  <c r="AS156" i="2"/>
  <c r="AV158" i="2"/>
  <c r="L157" i="2"/>
  <c r="M157" i="2" s="1"/>
  <c r="N157" i="2" s="1"/>
  <c r="O157" i="2" s="1"/>
  <c r="P157" i="2" s="1"/>
  <c r="Q157" i="2" s="1"/>
  <c r="R157" i="2" s="1"/>
  <c r="S157" i="2" s="1"/>
  <c r="T157" i="2" s="1"/>
  <c r="U157" i="2" s="1"/>
  <c r="V157" i="2" s="1"/>
  <c r="W157" i="2" s="1"/>
  <c r="X157" i="2" s="1"/>
  <c r="Y157" i="2" s="1"/>
  <c r="Z157" i="2" s="1"/>
  <c r="AA157" i="2" s="1"/>
  <c r="AB157" i="2" s="1"/>
  <c r="AC157" i="2" s="1"/>
  <c r="AD157" i="2" s="1"/>
  <c r="AE157" i="2" s="1"/>
  <c r="AF157" i="2" s="1"/>
  <c r="AG157" i="2" s="1"/>
  <c r="AH157" i="2" s="1"/>
  <c r="AI157" i="2" s="1"/>
  <c r="AJ157" i="2" s="1"/>
  <c r="AK157" i="2" s="1"/>
  <c r="AL157" i="2" s="1"/>
  <c r="AM157" i="2" s="1"/>
  <c r="AN157" i="2" s="1"/>
  <c r="AO157" i="2" s="1"/>
  <c r="AP157" i="2" s="1"/>
  <c r="AQ157" i="2" s="1"/>
  <c r="AR157" i="2" s="1"/>
  <c r="AS157" i="2" s="1"/>
  <c r="AT157" i="2" s="1"/>
  <c r="AT158" i="2"/>
  <c r="AT163" i="2"/>
  <c r="K161" i="2"/>
  <c r="K156" i="2"/>
  <c r="AV153" i="2"/>
  <c r="L162" i="2"/>
  <c r="M162" i="2" s="1"/>
  <c r="N162" i="2" s="1"/>
  <c r="O162" i="2" s="1"/>
  <c r="P162" i="2" s="1"/>
  <c r="Q162" i="2" s="1"/>
  <c r="R162" i="2" s="1"/>
  <c r="S162" i="2" s="1"/>
  <c r="T162" i="2" s="1"/>
  <c r="U162" i="2" s="1"/>
  <c r="V162" i="2" s="1"/>
  <c r="W162" i="2" s="1"/>
  <c r="X162" i="2" s="1"/>
  <c r="Y162" i="2" s="1"/>
  <c r="Z162" i="2" s="1"/>
  <c r="AA162" i="2" s="1"/>
  <c r="AB162" i="2" s="1"/>
  <c r="AC162" i="2" s="1"/>
  <c r="AD162" i="2" s="1"/>
  <c r="AE162" i="2" s="1"/>
  <c r="AF162" i="2" s="1"/>
  <c r="AG162" i="2" s="1"/>
  <c r="AH162" i="2" s="1"/>
  <c r="AI162" i="2" s="1"/>
  <c r="AJ162" i="2" s="1"/>
  <c r="AK162" i="2" s="1"/>
  <c r="AL162" i="2" s="1"/>
  <c r="AM162" i="2" s="1"/>
  <c r="AN162" i="2" s="1"/>
  <c r="AO162" i="2" s="1"/>
  <c r="AP162" i="2" s="1"/>
  <c r="AQ162" i="2" s="1"/>
  <c r="AR162" i="2" s="1"/>
  <c r="AS162" i="2" s="1"/>
  <c r="AT162" i="2" s="1"/>
  <c r="AU158" i="2"/>
  <c r="AT153" i="2"/>
  <c r="L152" i="2"/>
  <c r="M152" i="2" s="1"/>
  <c r="N152" i="2" s="1"/>
  <c r="O152" i="2" s="1"/>
  <c r="P152" i="2" s="1"/>
  <c r="Q152" i="2" s="1"/>
  <c r="R152" i="2" s="1"/>
  <c r="S152" i="2" s="1"/>
  <c r="T152" i="2" s="1"/>
  <c r="U152" i="2" s="1"/>
  <c r="V152" i="2" s="1"/>
  <c r="W152" i="2" s="1"/>
  <c r="X152" i="2" s="1"/>
  <c r="Y152" i="2" s="1"/>
  <c r="Z152" i="2" s="1"/>
  <c r="AA152" i="2" s="1"/>
  <c r="AB152" i="2" s="1"/>
  <c r="AC152" i="2" s="1"/>
  <c r="AD152" i="2" s="1"/>
  <c r="AE152" i="2" s="1"/>
  <c r="AF152" i="2" s="1"/>
  <c r="AG152" i="2" s="1"/>
  <c r="AH152" i="2" s="1"/>
  <c r="AI152" i="2" s="1"/>
  <c r="AJ152" i="2" s="1"/>
  <c r="AK152" i="2" s="1"/>
  <c r="AL152" i="2" s="1"/>
  <c r="AM152" i="2" s="1"/>
  <c r="AN152" i="2" s="1"/>
  <c r="AO152" i="2" s="1"/>
  <c r="AP152" i="2" s="1"/>
  <c r="AQ152" i="2" s="1"/>
  <c r="AR152" i="2" s="1"/>
  <c r="AS152" i="2" s="1"/>
  <c r="AT152" i="2" s="1"/>
  <c r="AU153" i="2"/>
  <c r="Q156" i="2"/>
  <c r="L156" i="2"/>
  <c r="AI156" i="2"/>
  <c r="AH156" i="2"/>
  <c r="AP156" i="2"/>
  <c r="AY167" i="2"/>
  <c r="AX166" i="2"/>
  <c r="T156" i="2"/>
  <c r="AV167" i="2"/>
  <c r="AU166" i="2"/>
  <c r="S156" i="2"/>
  <c r="BJ167" i="2"/>
  <c r="BI166" i="2"/>
  <c r="AA156" i="2"/>
  <c r="X156" i="2"/>
  <c r="AN156" i="2"/>
  <c r="AC156" i="2"/>
  <c r="AE156" i="2"/>
  <c r="U156" i="2"/>
  <c r="R156" i="2"/>
  <c r="AU167" i="2"/>
  <c r="AT166" i="2"/>
  <c r="AL156" i="2"/>
  <c r="BC167" i="2"/>
  <c r="BB166" i="2"/>
  <c r="BJ166" i="2"/>
  <c r="BK167" i="2"/>
  <c r="BC147" i="2"/>
  <c r="BD148" i="2"/>
  <c r="M137" i="2"/>
  <c r="M142" i="2"/>
  <c r="M132" i="2"/>
  <c r="W142" i="2"/>
  <c r="W132" i="2"/>
  <c r="W137" i="2"/>
  <c r="AT148" i="2"/>
  <c r="AS147" i="2"/>
  <c r="L143" i="2"/>
  <c r="L138" i="2"/>
  <c r="M138" i="2" s="1"/>
  <c r="N138" i="2" s="1"/>
  <c r="O138" i="2" s="1"/>
  <c r="P138" i="2" s="1"/>
  <c r="Q138" i="2" s="1"/>
  <c r="R138" i="2" s="1"/>
  <c r="S138" i="2" s="1"/>
  <c r="T138" i="2" s="1"/>
  <c r="U138" i="2" s="1"/>
  <c r="V138" i="2" s="1"/>
  <c r="W138" i="2" s="1"/>
  <c r="X138" i="2" s="1"/>
  <c r="Y138" i="2" s="1"/>
  <c r="Z138" i="2" s="1"/>
  <c r="AA138" i="2" s="1"/>
  <c r="AB138" i="2" s="1"/>
  <c r="AC138" i="2" s="1"/>
  <c r="AD138" i="2" s="1"/>
  <c r="AE138" i="2" s="1"/>
  <c r="AF138" i="2" s="1"/>
  <c r="AG138" i="2" s="1"/>
  <c r="AH138" i="2" s="1"/>
  <c r="AI138" i="2" s="1"/>
  <c r="AJ138" i="2" s="1"/>
  <c r="AK138" i="2" s="1"/>
  <c r="AL138" i="2" s="1"/>
  <c r="AM138" i="2" s="1"/>
  <c r="AN138" i="2" s="1"/>
  <c r="K137" i="2"/>
  <c r="L133" i="2"/>
  <c r="M133" i="2" s="1"/>
  <c r="N133" i="2" s="1"/>
  <c r="O133" i="2" s="1"/>
  <c r="P133" i="2" s="1"/>
  <c r="Q133" i="2" s="1"/>
  <c r="R133" i="2" s="1"/>
  <c r="S133" i="2" s="1"/>
  <c r="T133" i="2" s="1"/>
  <c r="U133" i="2" s="1"/>
  <c r="V133" i="2" s="1"/>
  <c r="W133" i="2" s="1"/>
  <c r="X133" i="2" s="1"/>
  <c r="Y133" i="2" s="1"/>
  <c r="Z133" i="2" s="1"/>
  <c r="AA133" i="2" s="1"/>
  <c r="AB133" i="2" s="1"/>
  <c r="AC133" i="2" s="1"/>
  <c r="AD133" i="2" s="1"/>
  <c r="AE133" i="2" s="1"/>
  <c r="AF133" i="2" s="1"/>
  <c r="AG133" i="2" s="1"/>
  <c r="AH133" i="2" s="1"/>
  <c r="AI133" i="2" s="1"/>
  <c r="AJ133" i="2" s="1"/>
  <c r="AK133" i="2" s="1"/>
  <c r="AL133" i="2" s="1"/>
  <c r="AM133" i="2" s="1"/>
  <c r="AN133" i="2" s="1"/>
  <c r="K142" i="2"/>
  <c r="Q137" i="2"/>
  <c r="Q142" i="2"/>
  <c r="Q132" i="2"/>
  <c r="L137" i="2"/>
  <c r="L142" i="2"/>
  <c r="L132" i="2"/>
  <c r="AI142" i="2"/>
  <c r="AI132" i="2"/>
  <c r="AI137" i="2"/>
  <c r="R142" i="2"/>
  <c r="R132" i="2"/>
  <c r="R137" i="2"/>
  <c r="AU148" i="2"/>
  <c r="AT147" i="2"/>
  <c r="AL142" i="2"/>
  <c r="AL132" i="2"/>
  <c r="AL137" i="2"/>
  <c r="BC148" i="2"/>
  <c r="BB147" i="2"/>
  <c r="BJ147" i="2"/>
  <c r="BK148" i="2"/>
  <c r="O142" i="2"/>
  <c r="O132" i="2"/>
  <c r="O137" i="2"/>
  <c r="AM142" i="2"/>
  <c r="AM132" i="2"/>
  <c r="AM137" i="2"/>
  <c r="AX148" i="2"/>
  <c r="AW147" i="2"/>
  <c r="AR147" i="2"/>
  <c r="AS148" i="2"/>
  <c r="S142" i="2"/>
  <c r="S132" i="2"/>
  <c r="S137" i="2"/>
  <c r="BJ148" i="2"/>
  <c r="BI147" i="2"/>
  <c r="AA142" i="2"/>
  <c r="AA132" i="2"/>
  <c r="AA137" i="2"/>
  <c r="X137" i="2"/>
  <c r="X142" i="2"/>
  <c r="X132" i="2"/>
  <c r="AO148" i="2"/>
  <c r="AN147" i="2"/>
  <c r="AC137" i="2"/>
  <c r="AC142" i="2"/>
  <c r="AC132" i="2"/>
  <c r="AE142" i="2"/>
  <c r="AE132" i="2"/>
  <c r="AE137" i="2"/>
  <c r="U137" i="2"/>
  <c r="U142" i="2"/>
  <c r="U132" i="2"/>
  <c r="BN148" i="2"/>
  <c r="BM147" i="2"/>
  <c r="V142" i="2"/>
  <c r="V132" i="2"/>
  <c r="V137" i="2"/>
  <c r="AD142" i="2"/>
  <c r="AD132" i="2"/>
  <c r="AD137" i="2"/>
  <c r="T137" i="2"/>
  <c r="T142" i="2"/>
  <c r="T132" i="2"/>
  <c r="AU147" i="2"/>
  <c r="AV148" i="2"/>
  <c r="BG147" i="2"/>
  <c r="BH148" i="2"/>
  <c r="BD147" i="2"/>
  <c r="BE148" i="2"/>
  <c r="AY147" i="2"/>
  <c r="AZ148" i="2"/>
  <c r="Y137" i="2"/>
  <c r="Y142" i="2"/>
  <c r="Y132" i="2"/>
  <c r="AV147" i="2"/>
  <c r="AW148" i="2"/>
  <c r="AZ147" i="2"/>
  <c r="BA148" i="2"/>
  <c r="AK137" i="2"/>
  <c r="AK142" i="2"/>
  <c r="AK132" i="2"/>
  <c r="BK147" i="2"/>
  <c r="BL148" i="2"/>
  <c r="N132" i="2"/>
  <c r="N137" i="2"/>
  <c r="N142" i="2"/>
  <c r="Z142" i="2"/>
  <c r="Z132" i="2"/>
  <c r="Z137" i="2"/>
  <c r="BG148" i="2"/>
  <c r="BF147" i="2"/>
  <c r="AP148" i="2"/>
  <c r="AO147" i="2"/>
  <c r="AJ137" i="2"/>
  <c r="AJ142" i="2"/>
  <c r="AJ132" i="2"/>
  <c r="AB137" i="2"/>
  <c r="AB142" i="2"/>
  <c r="AB132" i="2"/>
  <c r="P137" i="2"/>
  <c r="P142" i="2"/>
  <c r="P132" i="2"/>
  <c r="BI148" i="2"/>
  <c r="BH147" i="2"/>
  <c r="AG137" i="2"/>
  <c r="AG142" i="2"/>
  <c r="AG132" i="2"/>
  <c r="BB148" i="2"/>
  <c r="BA147" i="2"/>
  <c r="AQ147" i="2"/>
  <c r="AR148" i="2"/>
  <c r="BF148" i="2"/>
  <c r="BE147" i="2"/>
  <c r="AH132" i="2"/>
  <c r="AH137" i="2"/>
  <c r="AH142" i="2"/>
  <c r="AQ148" i="2"/>
  <c r="AP147" i="2"/>
  <c r="AY148" i="2"/>
  <c r="AX147" i="2"/>
  <c r="BM148" i="2"/>
  <c r="BL147" i="2"/>
  <c r="AN134" i="2"/>
  <c r="AO139" i="2"/>
  <c r="AO134" i="2"/>
  <c r="AP139" i="2"/>
  <c r="AP134" i="2"/>
  <c r="AN139" i="2"/>
  <c r="AN144" i="2"/>
  <c r="AO144" i="2"/>
  <c r="AP144" i="2"/>
  <c r="BK105" i="2"/>
  <c r="BH112" i="2"/>
  <c r="AR112" i="2"/>
  <c r="AA112" i="2"/>
  <c r="AL112" i="2"/>
  <c r="S112" i="2"/>
  <c r="BJ112" i="2"/>
  <c r="BQ112" i="2"/>
  <c r="BK112" i="2"/>
  <c r="AH112" i="2"/>
  <c r="K112" i="2"/>
  <c r="AN112" i="2"/>
  <c r="BM112" i="2"/>
  <c r="W112" i="2"/>
  <c r="BL112" i="2"/>
  <c r="AT112" i="2"/>
  <c r="AB112" i="2"/>
  <c r="H105" i="2"/>
  <c r="M112" i="2"/>
  <c r="BG112" i="2"/>
  <c r="BN105" i="2"/>
  <c r="L105" i="2"/>
  <c r="BM105" i="2"/>
  <c r="AU112" i="2"/>
  <c r="G112" i="2"/>
  <c r="BB112" i="2"/>
  <c r="Q112" i="2"/>
  <c r="T112" i="2"/>
  <c r="F105" i="2"/>
  <c r="BP105" i="2"/>
  <c r="J112" i="2"/>
  <c r="AE112" i="2"/>
  <c r="BP112" i="2"/>
  <c r="AJ112" i="2"/>
  <c r="I105" i="2"/>
  <c r="BE112" i="2"/>
  <c r="BN112" i="2"/>
  <c r="BN114" i="2" s="1"/>
  <c r="BO88" i="2" s="1"/>
  <c r="X112" i="2"/>
  <c r="BO105" i="2"/>
  <c r="E112" i="2"/>
  <c r="E114" i="2" s="1"/>
  <c r="F88" i="2" s="1"/>
  <c r="BL105" i="2"/>
  <c r="N112" i="2"/>
  <c r="R112" i="2"/>
  <c r="BQ105" i="2"/>
  <c r="C109" i="2"/>
  <c r="AY112" i="2"/>
  <c r="O112" i="2"/>
  <c r="AW112" i="2"/>
  <c r="BF112" i="2"/>
  <c r="Z112" i="2"/>
  <c r="Y112" i="2"/>
  <c r="U112" i="2"/>
  <c r="AX112" i="2"/>
  <c r="C111" i="2"/>
  <c r="BC112" i="2"/>
  <c r="AS112" i="2"/>
  <c r="AF112" i="2"/>
  <c r="AO112" i="2"/>
  <c r="AQ112" i="2"/>
  <c r="V112" i="2"/>
  <c r="AG112" i="2"/>
  <c r="I112" i="2"/>
  <c r="BD112" i="2"/>
  <c r="H112" i="2"/>
  <c r="AC112" i="2"/>
  <c r="AV112" i="2"/>
  <c r="BO112" i="2"/>
  <c r="AI112" i="2"/>
  <c r="F112" i="2"/>
  <c r="AM112" i="2"/>
  <c r="AK112" i="2"/>
  <c r="L112" i="2"/>
  <c r="BD105" i="2"/>
  <c r="Y105" i="2"/>
  <c r="Z105" i="2"/>
  <c r="C102" i="2"/>
  <c r="AM105" i="2"/>
  <c r="AU105" i="2"/>
  <c r="C103" i="2"/>
  <c r="AX105" i="2"/>
  <c r="AS105" i="2"/>
  <c r="BA105" i="2"/>
  <c r="AB105" i="2"/>
  <c r="AI105" i="2"/>
  <c r="AZ112" i="2"/>
  <c r="D112" i="2"/>
  <c r="C108" i="2"/>
  <c r="AE105" i="2"/>
  <c r="BE105" i="2"/>
  <c r="AL105" i="2"/>
  <c r="AD105" i="2"/>
  <c r="AQ105" i="2"/>
  <c r="AY105" i="2"/>
  <c r="AA105" i="2"/>
  <c r="AO105" i="2"/>
  <c r="C104" i="2"/>
  <c r="BG105" i="2"/>
  <c r="BH105" i="2"/>
  <c r="BH114" i="2" s="1"/>
  <c r="BI88" i="2" s="1"/>
  <c r="BI119" i="2" s="1"/>
  <c r="AW105" i="2"/>
  <c r="K105" i="2"/>
  <c r="X105" i="2"/>
  <c r="AR105" i="2"/>
  <c r="AG105" i="2"/>
  <c r="AC105" i="2"/>
  <c r="J105" i="2"/>
  <c r="AH105" i="2"/>
  <c r="BJ105" i="2"/>
  <c r="M105" i="2"/>
  <c r="P105" i="2"/>
  <c r="N105" i="2"/>
  <c r="C110" i="2"/>
  <c r="P112" i="2"/>
  <c r="BI112" i="2"/>
  <c r="AP112" i="2"/>
  <c r="BA112" i="2"/>
  <c r="AN105" i="2"/>
  <c r="C101" i="2"/>
  <c r="D105" i="2"/>
  <c r="BC105" i="2"/>
  <c r="BB105" i="2"/>
  <c r="AT105" i="2"/>
  <c r="R105" i="2"/>
  <c r="U105" i="2"/>
  <c r="AK105" i="2"/>
  <c r="AV105" i="2"/>
  <c r="BF105" i="2"/>
  <c r="AP105" i="2"/>
  <c r="Q105" i="2"/>
  <c r="AZ105" i="2"/>
  <c r="AF105" i="2"/>
  <c r="V105" i="2"/>
  <c r="S105" i="2"/>
  <c r="AJ105" i="2"/>
  <c r="W105" i="2"/>
  <c r="W114" i="2" s="1"/>
  <c r="X88" i="2" s="1"/>
  <c r="O105" i="2"/>
  <c r="T105" i="2"/>
  <c r="BI105" i="2"/>
  <c r="C149" i="2" l="1"/>
  <c r="T114" i="2"/>
  <c r="U88" i="2" s="1"/>
  <c r="G114" i="2"/>
  <c r="H88" i="2" s="1"/>
  <c r="BK114" i="2"/>
  <c r="BL88" i="2" s="1"/>
  <c r="C185" i="2"/>
  <c r="BO114" i="2"/>
  <c r="BP88" i="2" s="1"/>
  <c r="AY114" i="2"/>
  <c r="AZ88" i="2" s="1"/>
  <c r="Q114" i="2"/>
  <c r="R88" i="2" s="1"/>
  <c r="BP206" i="2"/>
  <c r="BP215" i="2" s="1"/>
  <c r="BQ206" i="2"/>
  <c r="BQ215" i="2" s="1"/>
  <c r="BJ206" i="2"/>
  <c r="BJ215" i="2" s="1"/>
  <c r="BL206" i="2"/>
  <c r="BL215" i="2" s="1"/>
  <c r="BM206" i="2"/>
  <c r="BM215" i="2" s="1"/>
  <c r="BO206" i="2"/>
  <c r="BO215" i="2" s="1"/>
  <c r="BN206" i="2"/>
  <c r="BN215" i="2" s="1"/>
  <c r="C201" i="2"/>
  <c r="C204" i="2"/>
  <c r="BC114" i="2"/>
  <c r="BD88" i="2" s="1"/>
  <c r="C196" i="2"/>
  <c r="BI206" i="2"/>
  <c r="BI215" i="2" s="1"/>
  <c r="BG206" i="2"/>
  <c r="BG215" i="2" s="1"/>
  <c r="C199" i="2"/>
  <c r="M200" i="2"/>
  <c r="N200" i="2" s="1"/>
  <c r="O200" i="2" s="1"/>
  <c r="P200" i="2" s="1"/>
  <c r="Q200" i="2" s="1"/>
  <c r="R200" i="2" s="1"/>
  <c r="S200" i="2" s="1"/>
  <c r="T200" i="2" s="1"/>
  <c r="U200" i="2" s="1"/>
  <c r="V200" i="2" s="1"/>
  <c r="W200" i="2" s="1"/>
  <c r="X200" i="2" s="1"/>
  <c r="Y200" i="2" s="1"/>
  <c r="Z200" i="2" s="1"/>
  <c r="AA200" i="2" s="1"/>
  <c r="AB200" i="2" s="1"/>
  <c r="AC200" i="2" s="1"/>
  <c r="AD200" i="2" s="1"/>
  <c r="AE200" i="2" s="1"/>
  <c r="AF200" i="2" s="1"/>
  <c r="AG200" i="2" s="1"/>
  <c r="AH200" i="2" s="1"/>
  <c r="AI200" i="2" s="1"/>
  <c r="AJ200" i="2" s="1"/>
  <c r="AK200" i="2" s="1"/>
  <c r="AL200" i="2" s="1"/>
  <c r="AM200" i="2" s="1"/>
  <c r="AN200" i="2" s="1"/>
  <c r="AO200" i="2" s="1"/>
  <c r="AP200" i="2" s="1"/>
  <c r="AQ200" i="2" s="1"/>
  <c r="AR200" i="2" s="1"/>
  <c r="AS200" i="2" s="1"/>
  <c r="AT200" i="2" s="1"/>
  <c r="AU200" i="2" s="1"/>
  <c r="AV200" i="2" s="1"/>
  <c r="AW200" i="2" s="1"/>
  <c r="AX200" i="2" s="1"/>
  <c r="AY200" i="2" s="1"/>
  <c r="AZ200" i="2" s="1"/>
  <c r="BA200" i="2" s="1"/>
  <c r="BB200" i="2" s="1"/>
  <c r="BC200" i="2" s="1"/>
  <c r="BD200" i="2" s="1"/>
  <c r="BE200" i="2" s="1"/>
  <c r="BF200" i="2" s="1"/>
  <c r="AO114" i="2"/>
  <c r="AP88" i="2" s="1"/>
  <c r="M195" i="2"/>
  <c r="N195" i="2" s="1"/>
  <c r="O195" i="2" s="1"/>
  <c r="P195" i="2" s="1"/>
  <c r="Q195" i="2" s="1"/>
  <c r="R195" i="2" s="1"/>
  <c r="S195" i="2" s="1"/>
  <c r="T195" i="2" s="1"/>
  <c r="U195" i="2" s="1"/>
  <c r="V195" i="2" s="1"/>
  <c r="W195" i="2" s="1"/>
  <c r="X195" i="2" s="1"/>
  <c r="Y195" i="2" s="1"/>
  <c r="Z195" i="2" s="1"/>
  <c r="AA195" i="2" s="1"/>
  <c r="AB195" i="2" s="1"/>
  <c r="AC195" i="2" s="1"/>
  <c r="AD195" i="2" s="1"/>
  <c r="AE195" i="2" s="1"/>
  <c r="AF195" i="2" s="1"/>
  <c r="AG195" i="2" s="1"/>
  <c r="AH195" i="2" s="1"/>
  <c r="AI195" i="2" s="1"/>
  <c r="AJ195" i="2" s="1"/>
  <c r="AK195" i="2" s="1"/>
  <c r="AL195" i="2" s="1"/>
  <c r="AM195" i="2" s="1"/>
  <c r="AN195" i="2" s="1"/>
  <c r="AO195" i="2" s="1"/>
  <c r="AP195" i="2" s="1"/>
  <c r="AQ195" i="2" s="1"/>
  <c r="AR195" i="2" s="1"/>
  <c r="AS195" i="2" s="1"/>
  <c r="AT195" i="2" s="1"/>
  <c r="AU195" i="2" s="1"/>
  <c r="AV195" i="2" s="1"/>
  <c r="AW195" i="2" s="1"/>
  <c r="AX195" i="2" s="1"/>
  <c r="AY195" i="2" s="1"/>
  <c r="AZ195" i="2" s="1"/>
  <c r="BA195" i="2" s="1"/>
  <c r="BB195" i="2" s="1"/>
  <c r="BC195" i="2" s="1"/>
  <c r="BD195" i="2" s="1"/>
  <c r="BE195" i="2" s="1"/>
  <c r="BF195" i="2" s="1"/>
  <c r="C205" i="2"/>
  <c r="BH206" i="2"/>
  <c r="BH215" i="2" s="1"/>
  <c r="BK206" i="2"/>
  <c r="BK215" i="2" s="1"/>
  <c r="C194" i="2"/>
  <c r="K206" i="2"/>
  <c r="K215" i="2" s="1"/>
  <c r="L206" i="2"/>
  <c r="L215" i="2" s="1"/>
  <c r="C186" i="2"/>
  <c r="C180" i="2"/>
  <c r="M176" i="2"/>
  <c r="N176" i="2" s="1"/>
  <c r="O176" i="2" s="1"/>
  <c r="P176" i="2" s="1"/>
  <c r="Q176" i="2" s="1"/>
  <c r="R176" i="2" s="1"/>
  <c r="S176" i="2" s="1"/>
  <c r="T176" i="2" s="1"/>
  <c r="U176" i="2" s="1"/>
  <c r="V176" i="2" s="1"/>
  <c r="W176" i="2" s="1"/>
  <c r="X176" i="2" s="1"/>
  <c r="Y176" i="2" s="1"/>
  <c r="Z176" i="2" s="1"/>
  <c r="AA176" i="2" s="1"/>
  <c r="AB176" i="2" s="1"/>
  <c r="AC176" i="2" s="1"/>
  <c r="AD176" i="2" s="1"/>
  <c r="AE176" i="2" s="1"/>
  <c r="AF176" i="2" s="1"/>
  <c r="AG176" i="2" s="1"/>
  <c r="AH176" i="2" s="1"/>
  <c r="AI176" i="2" s="1"/>
  <c r="AJ176" i="2" s="1"/>
  <c r="AK176" i="2" s="1"/>
  <c r="AL176" i="2" s="1"/>
  <c r="AM176" i="2" s="1"/>
  <c r="AN176" i="2" s="1"/>
  <c r="AO176" i="2" s="1"/>
  <c r="AP176" i="2" s="1"/>
  <c r="AQ176" i="2" s="1"/>
  <c r="AR176" i="2" s="1"/>
  <c r="AS176" i="2" s="1"/>
  <c r="AT176" i="2" s="1"/>
  <c r="AU176" i="2" s="1"/>
  <c r="AV176" i="2" s="1"/>
  <c r="AW176" i="2" s="1"/>
  <c r="AX176" i="2" s="1"/>
  <c r="AY176" i="2" s="1"/>
  <c r="AZ176" i="2" s="1"/>
  <c r="C182" i="2"/>
  <c r="C181" i="2"/>
  <c r="C177" i="2"/>
  <c r="C175" i="2"/>
  <c r="C139" i="2"/>
  <c r="AD114" i="2"/>
  <c r="AE88" i="2" s="1"/>
  <c r="AH114" i="2"/>
  <c r="AI88" i="2" s="1"/>
  <c r="C166" i="2"/>
  <c r="C153" i="2"/>
  <c r="C163" i="2"/>
  <c r="C156" i="2"/>
  <c r="C158" i="2"/>
  <c r="C161" i="2"/>
  <c r="C157" i="2"/>
  <c r="C167" i="2"/>
  <c r="C142" i="2"/>
  <c r="M143" i="2"/>
  <c r="N143" i="2" s="1"/>
  <c r="O143" i="2" s="1"/>
  <c r="P143" i="2" s="1"/>
  <c r="Q143" i="2" s="1"/>
  <c r="R143" i="2" s="1"/>
  <c r="S143" i="2" s="1"/>
  <c r="T143" i="2" s="1"/>
  <c r="U143" i="2" s="1"/>
  <c r="V143" i="2" s="1"/>
  <c r="W143" i="2" s="1"/>
  <c r="X143" i="2" s="1"/>
  <c r="Y143" i="2" s="1"/>
  <c r="Z143" i="2" s="1"/>
  <c r="AA143" i="2" s="1"/>
  <c r="AB143" i="2" s="1"/>
  <c r="AC143" i="2" s="1"/>
  <c r="AD143" i="2" s="1"/>
  <c r="AE143" i="2" s="1"/>
  <c r="AF143" i="2" s="1"/>
  <c r="AG143" i="2" s="1"/>
  <c r="AH143" i="2" s="1"/>
  <c r="AI143" i="2" s="1"/>
  <c r="AJ143" i="2" s="1"/>
  <c r="AK143" i="2" s="1"/>
  <c r="AL143" i="2" s="1"/>
  <c r="AM143" i="2" s="1"/>
  <c r="AN143" i="2" s="1"/>
  <c r="C137" i="2"/>
  <c r="C144" i="2"/>
  <c r="C138" i="2"/>
  <c r="AR114" i="2"/>
  <c r="AS88" i="2" s="1"/>
  <c r="S114" i="2"/>
  <c r="T88" i="2" s="1"/>
  <c r="AT114" i="2"/>
  <c r="AU88" i="2" s="1"/>
  <c r="BQ114" i="2"/>
  <c r="BJ114" i="2"/>
  <c r="BK88" i="2" s="1"/>
  <c r="BK119" i="2" s="1"/>
  <c r="AF114" i="2"/>
  <c r="AG88" i="2" s="1"/>
  <c r="AV114" i="2"/>
  <c r="AW88" i="2" s="1"/>
  <c r="AA114" i="2"/>
  <c r="AB88" i="2" s="1"/>
  <c r="AL114" i="2"/>
  <c r="AM88" i="2" s="1"/>
  <c r="AX114" i="2"/>
  <c r="AY88" i="2" s="1"/>
  <c r="BL114" i="2"/>
  <c r="BM88" i="2" s="1"/>
  <c r="AC114" i="2"/>
  <c r="AD88" i="2" s="1"/>
  <c r="AW114" i="2"/>
  <c r="AX88" i="2" s="1"/>
  <c r="R114" i="2"/>
  <c r="S88" i="2" s="1"/>
  <c r="BE114" i="2"/>
  <c r="BF88" i="2" s="1"/>
  <c r="AB114" i="2"/>
  <c r="AU114" i="2"/>
  <c r="AV88" i="2" s="1"/>
  <c r="AJ114" i="2"/>
  <c r="AK88" i="2" s="1"/>
  <c r="AE114" i="2"/>
  <c r="AF88" i="2" s="1"/>
  <c r="H114" i="2"/>
  <c r="I88" i="2" s="1"/>
  <c r="K114" i="2"/>
  <c r="L88" i="2" s="1"/>
  <c r="J114" i="2"/>
  <c r="K88" i="2" s="1"/>
  <c r="BM114" i="2"/>
  <c r="BN88" i="2" s="1"/>
  <c r="V114" i="2"/>
  <c r="W88" i="2" s="1"/>
  <c r="BD114" i="2"/>
  <c r="BE88" i="2" s="1"/>
  <c r="I114" i="2"/>
  <c r="J88" i="2" s="1"/>
  <c r="AS114" i="2"/>
  <c r="AT88" i="2" s="1"/>
  <c r="Z114" i="2"/>
  <c r="AA88" i="2" s="1"/>
  <c r="BP114" i="2"/>
  <c r="BQ88" i="2" s="1"/>
  <c r="BG114" i="2"/>
  <c r="BH88" i="2" s="1"/>
  <c r="AN114" i="2"/>
  <c r="BA114" i="2"/>
  <c r="BB88" i="2" s="1"/>
  <c r="AM114" i="2"/>
  <c r="AN88" i="2" s="1"/>
  <c r="F114" i="2"/>
  <c r="G88" i="2" s="1"/>
  <c r="BF114" i="2"/>
  <c r="BG88" i="2" s="1"/>
  <c r="U114" i="2"/>
  <c r="V88" i="2" s="1"/>
  <c r="BB114" i="2"/>
  <c r="BC88" i="2" s="1"/>
  <c r="Y114" i="2"/>
  <c r="Z88" i="2" s="1"/>
  <c r="L114" i="2"/>
  <c r="M88" i="2" s="1"/>
  <c r="AQ114" i="2"/>
  <c r="AR88" i="2" s="1"/>
  <c r="N114" i="2"/>
  <c r="O88" i="2" s="1"/>
  <c r="M114" i="2"/>
  <c r="N88" i="2" s="1"/>
  <c r="X114" i="2"/>
  <c r="Y88" i="2" s="1"/>
  <c r="AI114" i="2"/>
  <c r="AJ88" i="2" s="1"/>
  <c r="AG114" i="2"/>
  <c r="AH88" i="2" s="1"/>
  <c r="O114" i="2"/>
  <c r="P88" i="2" s="1"/>
  <c r="AK114" i="2"/>
  <c r="AL88" i="2" s="1"/>
  <c r="C148" i="2"/>
  <c r="C171" i="2"/>
  <c r="C151" i="2"/>
  <c r="C189" i="2"/>
  <c r="C147" i="2"/>
  <c r="AP114" i="2"/>
  <c r="AQ88" i="2" s="1"/>
  <c r="P114" i="2"/>
  <c r="C132" i="2"/>
  <c r="C112" i="2"/>
  <c r="G7" i="5" s="1"/>
  <c r="H7" i="5" s="1"/>
  <c r="D114" i="2"/>
  <c r="AZ114" i="2"/>
  <c r="BA88" i="2" s="1"/>
  <c r="C170" i="2"/>
  <c r="C105" i="2"/>
  <c r="G6" i="5" s="1"/>
  <c r="H6" i="5" s="1"/>
  <c r="H8" i="5" s="1"/>
  <c r="C134" i="2"/>
  <c r="BI114" i="2"/>
  <c r="BJ88" i="2" s="1"/>
  <c r="BJ119" i="2" s="1"/>
  <c r="C133" i="2"/>
  <c r="C191" i="2"/>
  <c r="C172" i="2"/>
  <c r="C187" i="2" l="1"/>
  <c r="C168" i="2"/>
  <c r="AC88" i="2"/>
  <c r="AM115" i="2"/>
  <c r="AO88" i="2"/>
  <c r="AY115" i="2"/>
  <c r="O115" i="2"/>
  <c r="Q88" i="2"/>
  <c r="AA115" i="2"/>
  <c r="G8" i="5"/>
  <c r="G5" i="5" s="1"/>
  <c r="E8" i="5"/>
  <c r="F8" i="5"/>
  <c r="C130" i="2"/>
  <c r="D8" i="5"/>
  <c r="AZ84" i="2"/>
  <c r="AW84" i="2"/>
  <c r="BD84" i="2"/>
  <c r="BE84" i="2"/>
  <c r="AP84" i="2"/>
  <c r="BA84" i="2"/>
  <c r="BQ84" i="2"/>
  <c r="AL84" i="2"/>
  <c r="Z84" i="2"/>
  <c r="AJ84" i="2"/>
  <c r="G84" i="2"/>
  <c r="Q84" i="2"/>
  <c r="S84" i="2"/>
  <c r="AC84" i="2"/>
  <c r="AE84" i="2"/>
  <c r="R84" i="2"/>
  <c r="F84" i="2"/>
  <c r="AD84" i="2"/>
  <c r="T84" i="2"/>
  <c r="Y84" i="2"/>
  <c r="AF84" i="2"/>
  <c r="O84" i="2"/>
  <c r="M84" i="2"/>
  <c r="X84" i="2"/>
  <c r="AH84" i="2"/>
  <c r="N84" i="2"/>
  <c r="AK84" i="2"/>
  <c r="AM84" i="2"/>
  <c r="H84" i="2"/>
  <c r="P84" i="2"/>
  <c r="I84" i="2"/>
  <c r="AB84" i="2"/>
  <c r="K84" i="2"/>
  <c r="V84" i="2"/>
  <c r="J84" i="2"/>
  <c r="U84" i="2"/>
  <c r="W84" i="2"/>
  <c r="AG84" i="2"/>
  <c r="AI84" i="2"/>
  <c r="AA84" i="2"/>
  <c r="L84" i="2"/>
  <c r="AT84" i="2"/>
  <c r="BB84" i="2"/>
  <c r="BC84" i="2"/>
  <c r="AQ84" i="2"/>
  <c r="BO84" i="2"/>
  <c r="BG84" i="2"/>
  <c r="BL84" i="2"/>
  <c r="AU84" i="2"/>
  <c r="BF84" i="2"/>
  <c r="BN84" i="2"/>
  <c r="BM84" i="2"/>
  <c r="AS84" i="2"/>
  <c r="BI84" i="2"/>
  <c r="AX84" i="2"/>
  <c r="AR84" i="2"/>
  <c r="BK84" i="2"/>
  <c r="BP84" i="2"/>
  <c r="AV84" i="2"/>
  <c r="AO84" i="2"/>
  <c r="BJ84" i="2"/>
  <c r="AN84" i="2"/>
  <c r="BH84" i="2"/>
  <c r="AY84" i="2"/>
  <c r="BF206" i="2"/>
  <c r="BF215" i="2" s="1"/>
  <c r="BD206" i="2"/>
  <c r="BD215" i="2" s="1"/>
  <c r="AZ206" i="2"/>
  <c r="AZ215" i="2" s="1"/>
  <c r="BE206" i="2"/>
  <c r="BE215" i="2" s="1"/>
  <c r="BA206" i="2"/>
  <c r="BA215" i="2" s="1"/>
  <c r="BC206" i="2"/>
  <c r="BC215" i="2" s="1"/>
  <c r="BB206" i="2"/>
  <c r="BB215" i="2" s="1"/>
  <c r="C195" i="2"/>
  <c r="C200" i="2"/>
  <c r="AN206" i="2"/>
  <c r="AN215" i="2" s="1"/>
  <c r="AX206" i="2"/>
  <c r="AX215" i="2" s="1"/>
  <c r="AL206" i="2"/>
  <c r="AL215" i="2" s="1"/>
  <c r="AW206" i="2"/>
  <c r="AW215" i="2" s="1"/>
  <c r="S206" i="2"/>
  <c r="S215" i="2" s="1"/>
  <c r="N206" i="2"/>
  <c r="N215" i="2" s="1"/>
  <c r="AR206" i="2"/>
  <c r="AR215" i="2" s="1"/>
  <c r="AM206" i="2"/>
  <c r="AM215" i="2" s="1"/>
  <c r="AO206" i="2"/>
  <c r="AO215" i="2" s="1"/>
  <c r="Q206" i="2"/>
  <c r="Q215" i="2" s="1"/>
  <c r="Y206" i="2"/>
  <c r="Y215" i="2" s="1"/>
  <c r="AV206" i="2"/>
  <c r="AV215" i="2" s="1"/>
  <c r="AD206" i="2"/>
  <c r="AD215" i="2" s="1"/>
  <c r="AY206" i="2"/>
  <c r="AY215" i="2" s="1"/>
  <c r="AE206" i="2"/>
  <c r="AE215" i="2" s="1"/>
  <c r="Z206" i="2"/>
  <c r="Z215" i="2" s="1"/>
  <c r="AA206" i="2"/>
  <c r="AA215" i="2" s="1"/>
  <c r="AB206" i="2"/>
  <c r="AB215" i="2" s="1"/>
  <c r="R206" i="2"/>
  <c r="R215" i="2" s="1"/>
  <c r="P206" i="2"/>
  <c r="P215" i="2" s="1"/>
  <c r="AT206" i="2"/>
  <c r="AT215" i="2" s="1"/>
  <c r="T206" i="2"/>
  <c r="T215" i="2" s="1"/>
  <c r="AU206" i="2"/>
  <c r="AU215" i="2" s="1"/>
  <c r="U206" i="2"/>
  <c r="U215" i="2" s="1"/>
  <c r="AJ206" i="2"/>
  <c r="AJ215" i="2" s="1"/>
  <c r="X206" i="2"/>
  <c r="X215" i="2" s="1"/>
  <c r="AS206" i="2"/>
  <c r="AS215" i="2" s="1"/>
  <c r="O206" i="2"/>
  <c r="O215" i="2" s="1"/>
  <c r="AH206" i="2"/>
  <c r="AH215" i="2" s="1"/>
  <c r="AQ206" i="2"/>
  <c r="AQ215" i="2" s="1"/>
  <c r="AI206" i="2"/>
  <c r="AI215" i="2" s="1"/>
  <c r="AF206" i="2"/>
  <c r="AF215" i="2" s="1"/>
  <c r="M206" i="2"/>
  <c r="M215" i="2" s="1"/>
  <c r="V206" i="2"/>
  <c r="V215" i="2" s="1"/>
  <c r="AG206" i="2"/>
  <c r="AG215" i="2" s="1"/>
  <c r="AK206" i="2"/>
  <c r="AK215" i="2" s="1"/>
  <c r="W206" i="2"/>
  <c r="W215" i="2" s="1"/>
  <c r="AC206" i="2"/>
  <c r="AC215" i="2" s="1"/>
  <c r="AP206" i="2"/>
  <c r="AP215" i="2" s="1"/>
  <c r="C176" i="2"/>
  <c r="Y211" i="2" s="1"/>
  <c r="C162" i="2"/>
  <c r="C152" i="2"/>
  <c r="C143" i="2"/>
  <c r="C114" i="2"/>
  <c r="E88" i="2"/>
  <c r="E119" i="2" s="1"/>
  <c r="H5" i="5" l="1"/>
  <c r="H10" i="5" s="1"/>
  <c r="G10" i="5"/>
  <c r="K210" i="2"/>
  <c r="AN209" i="2"/>
  <c r="E209" i="2"/>
  <c r="BA209" i="2"/>
  <c r="BQ209" i="2"/>
  <c r="AX209" i="2"/>
  <c r="BN209" i="2"/>
  <c r="AU209" i="2"/>
  <c r="BK209" i="2"/>
  <c r="BD209" i="2"/>
  <c r="AR209" i="2"/>
  <c r="I209" i="2"/>
  <c r="BE209" i="2"/>
  <c r="F209" i="2"/>
  <c r="BB209" i="2"/>
  <c r="AY209" i="2"/>
  <c r="BO209" i="2"/>
  <c r="BH209" i="2"/>
  <c r="BP209" i="2"/>
  <c r="AV209" i="2"/>
  <c r="AS209" i="2"/>
  <c r="BI209" i="2"/>
  <c r="J209" i="2"/>
  <c r="BF209" i="2"/>
  <c r="G209" i="2"/>
  <c r="BC209" i="2"/>
  <c r="BL209" i="2"/>
  <c r="AZ209" i="2"/>
  <c r="AW209" i="2"/>
  <c r="BM209" i="2"/>
  <c r="AT209" i="2"/>
  <c r="BJ209" i="2"/>
  <c r="AQ209" i="2"/>
  <c r="BG209" i="2"/>
  <c r="H209" i="2"/>
  <c r="Y209" i="2"/>
  <c r="AC210" i="2"/>
  <c r="M211" i="2"/>
  <c r="AF209" i="2"/>
  <c r="AK211" i="2"/>
  <c r="P210" i="2"/>
  <c r="AC211" i="2"/>
  <c r="AC209" i="2"/>
  <c r="S210" i="2"/>
  <c r="R211" i="2"/>
  <c r="AG210" i="2"/>
  <c r="AV211" i="2"/>
  <c r="V210" i="2"/>
  <c r="AA211" i="2"/>
  <c r="AH209" i="2"/>
  <c r="O211" i="2"/>
  <c r="L209" i="2"/>
  <c r="L210" i="2"/>
  <c r="V211" i="2"/>
  <c r="AR210" i="2"/>
  <c r="BA211" i="2"/>
  <c r="P209" i="2"/>
  <c r="AL210" i="2"/>
  <c r="AH211" i="2"/>
  <c r="AB210" i="2"/>
  <c r="AB211" i="2"/>
  <c r="AP209" i="2"/>
  <c r="N211" i="2"/>
  <c r="BM210" i="2"/>
  <c r="BE210" i="2"/>
  <c r="E210" i="2"/>
  <c r="J210" i="2"/>
  <c r="BJ210" i="2"/>
  <c r="BC210" i="2"/>
  <c r="H210" i="2"/>
  <c r="BL210" i="2"/>
  <c r="AX210" i="2"/>
  <c r="BN210" i="2"/>
  <c r="BG210" i="2"/>
  <c r="AZ210" i="2"/>
  <c r="BP210" i="2"/>
  <c r="BB210" i="2"/>
  <c r="G210" i="2"/>
  <c r="BK210" i="2"/>
  <c r="BD210" i="2"/>
  <c r="F210" i="2"/>
  <c r="BF210" i="2"/>
  <c r="AY210" i="2"/>
  <c r="BO210" i="2"/>
  <c r="Q209" i="2"/>
  <c r="O210" i="2"/>
  <c r="AE211" i="2"/>
  <c r="AG209" i="2"/>
  <c r="U211" i="2"/>
  <c r="AB209" i="2"/>
  <c r="K211" i="2"/>
  <c r="W209" i="2"/>
  <c r="AQ210" i="2"/>
  <c r="X211" i="2"/>
  <c r="AJ209" i="2"/>
  <c r="AN211" i="2"/>
  <c r="AL209" i="2"/>
  <c r="AR211" i="2"/>
  <c r="O209" i="2"/>
  <c r="AI210" i="2"/>
  <c r="AJ211" i="2"/>
  <c r="AD210" i="2"/>
  <c r="AY211" i="2"/>
  <c r="AJ210" i="2"/>
  <c r="S211" i="2"/>
  <c r="R209" i="2"/>
  <c r="AS210" i="2"/>
  <c r="Z211" i="2"/>
  <c r="N209" i="2"/>
  <c r="AI211" i="2"/>
  <c r="K209" i="2"/>
  <c r="AA210" i="2"/>
  <c r="I210" i="2"/>
  <c r="P211" i="2"/>
  <c r="T209" i="2"/>
  <c r="AZ211" i="2"/>
  <c r="V209" i="2"/>
  <c r="AW211" i="2"/>
  <c r="AT210" i="2"/>
  <c r="AH210" i="2"/>
  <c r="AL211" i="2"/>
  <c r="AO209" i="2"/>
  <c r="AS211" i="2"/>
  <c r="U209" i="2"/>
  <c r="AM211" i="2"/>
  <c r="AV210" i="2"/>
  <c r="AM210" i="2"/>
  <c r="AQ211" i="2"/>
  <c r="M210" i="2"/>
  <c r="T211" i="2"/>
  <c r="Z209" i="2"/>
  <c r="AU211" i="2"/>
  <c r="AI209" i="2"/>
  <c r="AE210" i="2"/>
  <c r="AG211" i="2"/>
  <c r="Y210" i="2"/>
  <c r="R210" i="2"/>
  <c r="S209" i="2"/>
  <c r="X210" i="2"/>
  <c r="W210" i="2"/>
  <c r="BI210" i="2"/>
  <c r="BQ210" i="2"/>
  <c r="BH210" i="2"/>
  <c r="BJ211" i="2"/>
  <c r="BI211" i="2"/>
  <c r="G211" i="2"/>
  <c r="BO211" i="2"/>
  <c r="BM211" i="2"/>
  <c r="BD211" i="2"/>
  <c r="F211" i="2"/>
  <c r="BN211" i="2"/>
  <c r="BQ211" i="2"/>
  <c r="BC211" i="2"/>
  <c r="BH211" i="2"/>
  <c r="J211" i="2"/>
  <c r="BG211" i="2"/>
  <c r="I211" i="2"/>
  <c r="BL211" i="2"/>
  <c r="BF211" i="2"/>
  <c r="E211" i="2"/>
  <c r="BK211" i="2"/>
  <c r="BE211" i="2"/>
  <c r="H211" i="2"/>
  <c r="BP211" i="2"/>
  <c r="L211" i="2"/>
  <c r="AA209" i="2"/>
  <c r="AN210" i="2"/>
  <c r="M209" i="2"/>
  <c r="AP210" i="2"/>
  <c r="AO211" i="2"/>
  <c r="AK210" i="2"/>
  <c r="AD209" i="2"/>
  <c r="Q211" i="2"/>
  <c r="AM209" i="2"/>
  <c r="T210" i="2"/>
  <c r="AU210" i="2"/>
  <c r="Q210" i="2"/>
  <c r="BB211" i="2"/>
  <c r="AO210" i="2"/>
  <c r="AT211" i="2"/>
  <c r="AK209" i="2"/>
  <c r="AF211" i="2"/>
  <c r="AE209" i="2"/>
  <c r="U210" i="2"/>
  <c r="AD211" i="2"/>
  <c r="N210" i="2"/>
  <c r="AP211" i="2"/>
  <c r="X209" i="2"/>
  <c r="AF210" i="2"/>
  <c r="W211" i="2"/>
  <c r="Z210" i="2"/>
  <c r="AX211" i="2"/>
  <c r="AW210" i="2"/>
  <c r="BA210" i="2"/>
  <c r="D211" i="2"/>
  <c r="D209" i="2"/>
  <c r="C88" i="2"/>
  <c r="C84" i="2"/>
  <c r="I83" i="2"/>
  <c r="K83" i="2"/>
  <c r="C85" i="2"/>
  <c r="H83" i="2"/>
  <c r="O83" i="2"/>
  <c r="Q83" i="2"/>
  <c r="AI83" i="2"/>
  <c r="AQ83" i="2"/>
  <c r="AH83" i="2"/>
  <c r="M83" i="2"/>
  <c r="N83" i="2"/>
  <c r="X83" i="2"/>
  <c r="AG83" i="2"/>
  <c r="AK83" i="2"/>
  <c r="AM83" i="2"/>
  <c r="AA83" i="2"/>
  <c r="AS83" i="2"/>
  <c r="BH83" i="2"/>
  <c r="BH119" i="2" s="1"/>
  <c r="R83" i="2"/>
  <c r="W83" i="2"/>
  <c r="AO83" i="2"/>
  <c r="AU83" i="2"/>
  <c r="AV83" i="2"/>
  <c r="AV119" i="2" s="1"/>
  <c r="AE83" i="2"/>
  <c r="AJ83" i="2"/>
  <c r="AP83" i="2"/>
  <c r="AF83" i="2"/>
  <c r="BE83" i="2"/>
  <c r="BE119" i="2" s="1"/>
  <c r="BG83" i="2"/>
  <c r="BG119" i="2" s="1"/>
  <c r="AB83" i="2"/>
  <c r="Y83" i="2"/>
  <c r="AY83" i="2"/>
  <c r="AY119" i="2" s="1"/>
  <c r="AD83" i="2"/>
  <c r="BD83" i="2"/>
  <c r="BD119" i="2" s="1"/>
  <c r="BB83" i="2"/>
  <c r="BB119" i="2" s="1"/>
  <c r="AZ83" i="2"/>
  <c r="AZ119" i="2" s="1"/>
  <c r="AR83" i="2"/>
  <c r="P83" i="2"/>
  <c r="AX83" i="2"/>
  <c r="AX119" i="2" s="1"/>
  <c r="AN83" i="2"/>
  <c r="S83" i="2"/>
  <c r="J83" i="2"/>
  <c r="L83" i="2"/>
  <c r="BF83" i="2"/>
  <c r="BF119" i="2" s="1"/>
  <c r="AC83" i="2"/>
  <c r="V83" i="2"/>
  <c r="AT83" i="2"/>
  <c r="BC83" i="2"/>
  <c r="BC119" i="2" s="1"/>
  <c r="U83" i="2"/>
  <c r="AL83" i="2"/>
  <c r="BA83" i="2"/>
  <c r="BA119" i="2" s="1"/>
  <c r="T83" i="2"/>
  <c r="AW83" i="2"/>
  <c r="AW119" i="2" s="1"/>
  <c r="Z83" i="2"/>
  <c r="H15" i="5" l="1"/>
  <c r="C211" i="2"/>
  <c r="C209" i="2"/>
  <c r="C83" i="2"/>
  <c r="AS87" i="2"/>
  <c r="AS119" i="2" s="1"/>
  <c r="AQ87" i="2"/>
  <c r="AQ119" i="2" s="1"/>
  <c r="S87" i="2"/>
  <c r="S119" i="2" s="1"/>
  <c r="AJ87" i="2"/>
  <c r="AJ119" i="2" s="1"/>
  <c r="AT87" i="2"/>
  <c r="AT119" i="2" s="1"/>
  <c r="X87" i="2"/>
  <c r="X119" i="2" s="1"/>
  <c r="AL87" i="2"/>
  <c r="AL119" i="2" s="1"/>
  <c r="V87" i="2"/>
  <c r="V119" i="2" s="1"/>
  <c r="AB87" i="2"/>
  <c r="AB119" i="2" s="1"/>
  <c r="AA87" i="2"/>
  <c r="AA119" i="2" s="1"/>
  <c r="T87" i="2"/>
  <c r="T119" i="2" s="1"/>
  <c r="AE87" i="2"/>
  <c r="AE119" i="2" s="1"/>
  <c r="AC87" i="2"/>
  <c r="AC119" i="2" s="1"/>
  <c r="K87" i="2"/>
  <c r="K119" i="2" s="1"/>
  <c r="AN87" i="2"/>
  <c r="AN119" i="2" s="1"/>
  <c r="N87" i="2"/>
  <c r="N119" i="2" s="1"/>
  <c r="AI87" i="2"/>
  <c r="AI119" i="2" s="1"/>
  <c r="Z87" i="2"/>
  <c r="Z119" i="2" s="1"/>
  <c r="AG87" i="2"/>
  <c r="AG119" i="2" s="1"/>
  <c r="AU87" i="2"/>
  <c r="AU119" i="2" s="1"/>
  <c r="AH87" i="2"/>
  <c r="AH119" i="2" s="1"/>
  <c r="P87" i="2"/>
  <c r="P119" i="2" s="1"/>
  <c r="AD87" i="2"/>
  <c r="AD119" i="2" s="1"/>
  <c r="AM87" i="2"/>
  <c r="AM119" i="2" s="1"/>
  <c r="AO87" i="2"/>
  <c r="AO119" i="2" s="1"/>
  <c r="Q87" i="2"/>
  <c r="Q119" i="2" s="1"/>
  <c r="H86" i="2"/>
  <c r="H119" i="2" s="1"/>
  <c r="O87" i="2"/>
  <c r="O119" i="2" s="1"/>
  <c r="M87" i="2"/>
  <c r="M119" i="2" s="1"/>
  <c r="G86" i="2"/>
  <c r="G119" i="2" s="1"/>
  <c r="F86" i="2"/>
  <c r="F119" i="2" s="1"/>
  <c r="R87" i="2"/>
  <c r="R119" i="2" s="1"/>
  <c r="AF87" i="2"/>
  <c r="AF119" i="2" s="1"/>
  <c r="I86" i="2"/>
  <c r="I119" i="2" s="1"/>
  <c r="AK87" i="2"/>
  <c r="AK119" i="2" s="1"/>
  <c r="U87" i="2"/>
  <c r="U119" i="2" s="1"/>
  <c r="W87" i="2"/>
  <c r="W119" i="2" s="1"/>
  <c r="AR87" i="2"/>
  <c r="AR119" i="2" s="1"/>
  <c r="AP87" i="2"/>
  <c r="AP119" i="2" s="1"/>
  <c r="L87" i="2"/>
  <c r="L119" i="2" s="1"/>
  <c r="J87" i="2"/>
  <c r="J119" i="2" s="1"/>
  <c r="Y87" i="2"/>
  <c r="Y119" i="2" s="1"/>
  <c r="C119" i="2" l="1"/>
  <c r="E15" i="5"/>
  <c r="F15" i="5"/>
  <c r="D15" i="5"/>
  <c r="G15" i="5"/>
  <c r="C86" i="2"/>
  <c r="C87" i="2"/>
  <c r="D210" i="2" l="1"/>
  <c r="C210" i="2" l="1"/>
  <c r="C190" i="2" l="1"/>
  <c r="H212" i="2" l="1"/>
  <c r="H213" i="2" s="1"/>
  <c r="H217" i="2" s="1"/>
  <c r="H295" i="2" s="1"/>
  <c r="E212" i="2"/>
  <c r="E213" i="2" s="1"/>
  <c r="E217" i="2" s="1"/>
  <c r="E295" i="2" s="1"/>
  <c r="BQ212" i="2"/>
  <c r="BQ213" i="2" s="1"/>
  <c r="BQ217" i="2" s="1"/>
  <c r="AS212" i="2"/>
  <c r="AS213" i="2" s="1"/>
  <c r="AS217" i="2" s="1"/>
  <c r="AS295" i="2" s="1"/>
  <c r="AI212" i="2"/>
  <c r="AI213" i="2" s="1"/>
  <c r="AI217" i="2" s="1"/>
  <c r="AI295" i="2" s="1"/>
  <c r="AH212" i="2"/>
  <c r="AH213" i="2" s="1"/>
  <c r="AH217" i="2" s="1"/>
  <c r="AH295" i="2" s="1"/>
  <c r="AP212" i="2"/>
  <c r="AP213" i="2" s="1"/>
  <c r="AP217" i="2" s="1"/>
  <c r="AP295" i="2" s="1"/>
  <c r="AX212" i="2"/>
  <c r="AX213" i="2" s="1"/>
  <c r="AX217" i="2" s="1"/>
  <c r="AX295" i="2" s="1"/>
  <c r="AK212" i="2"/>
  <c r="AK213" i="2" s="1"/>
  <c r="AK217" i="2" s="1"/>
  <c r="AK295" i="2" s="1"/>
  <c r="X212" i="2"/>
  <c r="X213" i="2" s="1"/>
  <c r="X217" i="2" s="1"/>
  <c r="X295" i="2" s="1"/>
  <c r="AB212" i="2"/>
  <c r="AB213" i="2" s="1"/>
  <c r="AB217" i="2" s="1"/>
  <c r="BA212" i="2"/>
  <c r="BA213" i="2" s="1"/>
  <c r="BA217" i="2" s="1"/>
  <c r="BA295" i="2" s="1"/>
  <c r="AN212" i="2"/>
  <c r="AN213" i="2" s="1"/>
  <c r="AN217" i="2" s="1"/>
  <c r="AR212" i="2"/>
  <c r="AR213" i="2" s="1"/>
  <c r="AR217" i="2" s="1"/>
  <c r="AR295" i="2" s="1"/>
  <c r="K212" i="2"/>
  <c r="K213" i="2" s="1"/>
  <c r="K217" i="2" s="1"/>
  <c r="K295" i="2" s="1"/>
  <c r="G212" i="2"/>
  <c r="G213" i="2" s="1"/>
  <c r="G217" i="2" s="1"/>
  <c r="G295" i="2" s="1"/>
  <c r="BN212" i="2"/>
  <c r="BN213" i="2" s="1"/>
  <c r="BN217" i="2" s="1"/>
  <c r="BN295" i="2" s="1"/>
  <c r="BL212" i="2"/>
  <c r="BL213" i="2" s="1"/>
  <c r="I212" i="2"/>
  <c r="I213" i="2" s="1"/>
  <c r="I217" i="2" s="1"/>
  <c r="I295" i="2" s="1"/>
  <c r="F212" i="2"/>
  <c r="F213" i="2" s="1"/>
  <c r="F217" i="2" s="1"/>
  <c r="F295" i="2" s="1"/>
  <c r="AU212" i="2"/>
  <c r="AU213" i="2" s="1"/>
  <c r="AU217" i="2" s="1"/>
  <c r="AU295" i="2" s="1"/>
  <c r="P212" i="2"/>
  <c r="P213" i="2" s="1"/>
  <c r="P217" i="2" s="1"/>
  <c r="BB212" i="2"/>
  <c r="BB213" i="2" s="1"/>
  <c r="BB217" i="2" s="1"/>
  <c r="BB295" i="2" s="1"/>
  <c r="Z212" i="2"/>
  <c r="Z213" i="2" s="1"/>
  <c r="Z217" i="2" s="1"/>
  <c r="Z295" i="2" s="1"/>
  <c r="AL212" i="2"/>
  <c r="AL213" i="2" s="1"/>
  <c r="AL217" i="2" s="1"/>
  <c r="AL295" i="2" s="1"/>
  <c r="BC212" i="2"/>
  <c r="BC213" i="2" s="1"/>
  <c r="BC217" i="2" s="1"/>
  <c r="BC295" i="2" s="1"/>
  <c r="M212" i="2"/>
  <c r="M213" i="2" s="1"/>
  <c r="M217" i="2" s="1"/>
  <c r="M295" i="2" s="1"/>
  <c r="Q212" i="2"/>
  <c r="Q213" i="2" s="1"/>
  <c r="Q217" i="2" s="1"/>
  <c r="Q295" i="2" s="1"/>
  <c r="T212" i="2"/>
  <c r="T213" i="2" s="1"/>
  <c r="T217" i="2" s="1"/>
  <c r="T295" i="2" s="1"/>
  <c r="AC212" i="2"/>
  <c r="AC213" i="2" s="1"/>
  <c r="AC217" i="2" s="1"/>
  <c r="AC295" i="2" s="1"/>
  <c r="AG212" i="2"/>
  <c r="AG213" i="2" s="1"/>
  <c r="AG217" i="2" s="1"/>
  <c r="AG295" i="2" s="1"/>
  <c r="AT212" i="2"/>
  <c r="AT213" i="2" s="1"/>
  <c r="AT217" i="2" s="1"/>
  <c r="AT295" i="2" s="1"/>
  <c r="BK212" i="2"/>
  <c r="BK213" i="2" s="1"/>
  <c r="BK217" i="2" s="1"/>
  <c r="BK295" i="2" s="1"/>
  <c r="BP212" i="2"/>
  <c r="BP213" i="2" s="1"/>
  <c r="BP217" i="2" s="1"/>
  <c r="BI212" i="2"/>
  <c r="BI213" i="2" s="1"/>
  <c r="BI217" i="2" s="1"/>
  <c r="BI295" i="2" s="1"/>
  <c r="BJ212" i="2"/>
  <c r="BJ213" i="2" s="1"/>
  <c r="BJ217" i="2" s="1"/>
  <c r="BJ295" i="2" s="1"/>
  <c r="AM212" i="2"/>
  <c r="AM213" i="2" s="1"/>
  <c r="AM217" i="2" s="1"/>
  <c r="AM295" i="2" s="1"/>
  <c r="V212" i="2"/>
  <c r="V213" i="2" s="1"/>
  <c r="V217" i="2" s="1"/>
  <c r="V295" i="2" s="1"/>
  <c r="U212" i="2"/>
  <c r="U213" i="2" s="1"/>
  <c r="U217" i="2" s="1"/>
  <c r="U295" i="2" s="1"/>
  <c r="AJ212" i="2"/>
  <c r="AJ213" i="2" s="1"/>
  <c r="AJ217" i="2" s="1"/>
  <c r="AJ295" i="2" s="1"/>
  <c r="BF212" i="2"/>
  <c r="BF213" i="2" s="1"/>
  <c r="AY212" i="2"/>
  <c r="AY213" i="2" s="1"/>
  <c r="AY217" i="2" s="1"/>
  <c r="AY295" i="2" s="1"/>
  <c r="Y212" i="2"/>
  <c r="Y213" i="2" s="1"/>
  <c r="Y217" i="2" s="1"/>
  <c r="Y295" i="2" s="1"/>
  <c r="R212" i="2"/>
  <c r="R213" i="2" s="1"/>
  <c r="R217" i="2" s="1"/>
  <c r="R295" i="2" s="1"/>
  <c r="AD212" i="2"/>
  <c r="AD213" i="2" s="1"/>
  <c r="AD217" i="2" s="1"/>
  <c r="AD295" i="2" s="1"/>
  <c r="AO212" i="2"/>
  <c r="AO213" i="2" s="1"/>
  <c r="AO217" i="2" s="1"/>
  <c r="AO295" i="2" s="1"/>
  <c r="N212" i="2"/>
  <c r="N213" i="2" s="1"/>
  <c r="N217" i="2" s="1"/>
  <c r="N295" i="2" s="1"/>
  <c r="BG212" i="2"/>
  <c r="BG213" i="2" s="1"/>
  <c r="BG217" i="2" s="1"/>
  <c r="BG295" i="2" s="1"/>
  <c r="AZ212" i="2"/>
  <c r="AZ213" i="2" s="1"/>
  <c r="AZ217" i="2" s="1"/>
  <c r="BO212" i="2"/>
  <c r="BO213" i="2" s="1"/>
  <c r="BO217" i="2" s="1"/>
  <c r="J212" i="2"/>
  <c r="J213" i="2" s="1"/>
  <c r="J217" i="2" s="1"/>
  <c r="J295" i="2" s="1"/>
  <c r="BM212" i="2"/>
  <c r="BM213" i="2" s="1"/>
  <c r="BM217" i="2" s="1"/>
  <c r="BM295" i="2" s="1"/>
  <c r="BD212" i="2"/>
  <c r="BD213" i="2" s="1"/>
  <c r="BD217" i="2" s="1"/>
  <c r="BD295" i="2" s="1"/>
  <c r="AW212" i="2"/>
  <c r="AW213" i="2" s="1"/>
  <c r="AW217" i="2" s="1"/>
  <c r="AW295" i="2" s="1"/>
  <c r="W212" i="2"/>
  <c r="W213" i="2" s="1"/>
  <c r="W217" i="2" s="1"/>
  <c r="W295" i="2" s="1"/>
  <c r="BH212" i="2"/>
  <c r="BH213" i="2" s="1"/>
  <c r="BH217" i="2" s="1"/>
  <c r="BH295" i="2" s="1"/>
  <c r="L212" i="2"/>
  <c r="L213" i="2" s="1"/>
  <c r="L217" i="2" s="1"/>
  <c r="L295" i="2" s="1"/>
  <c r="AF212" i="2"/>
  <c r="AF213" i="2" s="1"/>
  <c r="AF217" i="2" s="1"/>
  <c r="AF295" i="2" s="1"/>
  <c r="AA212" i="2"/>
  <c r="AA213" i="2" s="1"/>
  <c r="AA217" i="2" s="1"/>
  <c r="AA295" i="2" s="1"/>
  <c r="O212" i="2"/>
  <c r="O213" i="2" s="1"/>
  <c r="O217" i="2" s="1"/>
  <c r="O295" i="2" s="1"/>
  <c r="AV212" i="2"/>
  <c r="AV213" i="2" s="1"/>
  <c r="AV217" i="2" s="1"/>
  <c r="AV295" i="2" s="1"/>
  <c r="AQ212" i="2"/>
  <c r="AQ213" i="2" s="1"/>
  <c r="AQ217" i="2" s="1"/>
  <c r="AQ295" i="2" s="1"/>
  <c r="AE212" i="2"/>
  <c r="AE213" i="2" s="1"/>
  <c r="AE217" i="2" s="1"/>
  <c r="AE295" i="2" s="1"/>
  <c r="S212" i="2"/>
  <c r="S213" i="2" s="1"/>
  <c r="S217" i="2" s="1"/>
  <c r="S295" i="2" s="1"/>
  <c r="BE212" i="2"/>
  <c r="BE213" i="2" s="1"/>
  <c r="BE217" i="2" s="1"/>
  <c r="BE295" i="2" s="1"/>
  <c r="D212" i="2"/>
  <c r="BL217" i="2"/>
  <c r="BL295" i="2" s="1"/>
  <c r="C206" i="2"/>
  <c r="C207" i="2" s="1"/>
  <c r="AA218" i="2" l="1"/>
  <c r="AB295" i="2"/>
  <c r="AM218" i="2"/>
  <c r="F34" i="5" s="1"/>
  <c r="P295" i="2"/>
  <c r="E34" i="5"/>
  <c r="AN295" i="2"/>
  <c r="AY218" i="2"/>
  <c r="G34" i="5" s="1"/>
  <c r="AZ295" i="2"/>
  <c r="BM296" i="2"/>
  <c r="BM308" i="2"/>
  <c r="BN296" i="2"/>
  <c r="BN308" i="2"/>
  <c r="BL296" i="2"/>
  <c r="BL308" i="2"/>
  <c r="BA89" i="2"/>
  <c r="BA90" i="2"/>
  <c r="AT89" i="2"/>
  <c r="AT90" i="2"/>
  <c r="AN89" i="2"/>
  <c r="AN90" i="2"/>
  <c r="AJ89" i="2"/>
  <c r="AJ90" i="2"/>
  <c r="AB89" i="2"/>
  <c r="AB90" i="2"/>
  <c r="V89" i="2"/>
  <c r="V90" i="2"/>
  <c r="F89" i="2"/>
  <c r="F90" i="2"/>
  <c r="I89" i="2"/>
  <c r="I90" i="2"/>
  <c r="G89" i="2"/>
  <c r="G90" i="2"/>
  <c r="S89" i="2"/>
  <c r="S90" i="2"/>
  <c r="BM89" i="2"/>
  <c r="BM90" i="2"/>
  <c r="AZ89" i="2"/>
  <c r="AZ90" i="2"/>
  <c r="AS90" i="2"/>
  <c r="AS89" i="2"/>
  <c r="AM89" i="2"/>
  <c r="AM90" i="2"/>
  <c r="AI89" i="2"/>
  <c r="AI90" i="2"/>
  <c r="AA89" i="2"/>
  <c r="AA90" i="2"/>
  <c r="T89" i="2"/>
  <c r="T90" i="2"/>
  <c r="BH89" i="2"/>
  <c r="BH90" i="2"/>
  <c r="BN89" i="2"/>
  <c r="BN90" i="2"/>
  <c r="O89" i="2"/>
  <c r="O90" i="2"/>
  <c r="H89" i="2"/>
  <c r="H90" i="2"/>
  <c r="AE89" i="2"/>
  <c r="AE90" i="2"/>
  <c r="J89" i="2"/>
  <c r="J90" i="2"/>
  <c r="N89" i="2"/>
  <c r="N90" i="2"/>
  <c r="Y89" i="2"/>
  <c r="Y90" i="2"/>
  <c r="U89" i="2"/>
  <c r="U90" i="2"/>
  <c r="AG89" i="2"/>
  <c r="AG90" i="2"/>
  <c r="M89" i="2"/>
  <c r="M90" i="2"/>
  <c r="BB89" i="2"/>
  <c r="BB90" i="2"/>
  <c r="AP89" i="2"/>
  <c r="AP90" i="2"/>
  <c r="AX89" i="2"/>
  <c r="AX90" i="2"/>
  <c r="AR89" i="2"/>
  <c r="AR90" i="2"/>
  <c r="AL89" i="2"/>
  <c r="AL90" i="2"/>
  <c r="AH89" i="2"/>
  <c r="AH90" i="2"/>
  <c r="Z89" i="2"/>
  <c r="Z90" i="2"/>
  <c r="R89" i="2"/>
  <c r="R90" i="2"/>
  <c r="BJ89" i="2"/>
  <c r="BJ90" i="2"/>
  <c r="BI89" i="2"/>
  <c r="BI90" i="2"/>
  <c r="Q89" i="2"/>
  <c r="Q90" i="2"/>
  <c r="K89" i="2"/>
  <c r="K90" i="2"/>
  <c r="AQ89" i="2"/>
  <c r="AQ90" i="2"/>
  <c r="AF89" i="2"/>
  <c r="AF90" i="2"/>
  <c r="AW89" i="2"/>
  <c r="AW90" i="2"/>
  <c r="BO89" i="2"/>
  <c r="BO90" i="2"/>
  <c r="AY89" i="2"/>
  <c r="AY90" i="2"/>
  <c r="BP89" i="2"/>
  <c r="BP90" i="2"/>
  <c r="AC89" i="2"/>
  <c r="AC90" i="2"/>
  <c r="BC89" i="2"/>
  <c r="BC90" i="2"/>
  <c r="P89" i="2"/>
  <c r="P90" i="2"/>
  <c r="X89" i="2"/>
  <c r="X90" i="2"/>
  <c r="AU89" i="2"/>
  <c r="AU90" i="2"/>
  <c r="AO89" i="2"/>
  <c r="AO90" i="2"/>
  <c r="AK89" i="2"/>
  <c r="AK90" i="2"/>
  <c r="AD89" i="2"/>
  <c r="AD90" i="2"/>
  <c r="W89" i="2"/>
  <c r="W90" i="2"/>
  <c r="BK89" i="2"/>
  <c r="BK90" i="2"/>
  <c r="BL89" i="2"/>
  <c r="BL90" i="2"/>
  <c r="BQ89" i="2"/>
  <c r="BQ90" i="2"/>
  <c r="BG89" i="2"/>
  <c r="BG90" i="2"/>
  <c r="BE89" i="2"/>
  <c r="BE90" i="2"/>
  <c r="AV89" i="2"/>
  <c r="AV90" i="2"/>
  <c r="L89" i="2"/>
  <c r="L90" i="2"/>
  <c r="BD89" i="2"/>
  <c r="BD90" i="2"/>
  <c r="C278" i="2"/>
  <c r="O49" i="3"/>
  <c r="M49" i="3"/>
  <c r="L49" i="3"/>
  <c r="K49" i="3"/>
  <c r="BF217" i="2"/>
  <c r="BF295" i="2" s="1"/>
  <c r="C215" i="2"/>
  <c r="C280" i="2" s="1"/>
  <c r="BB91" i="2"/>
  <c r="BB120" i="2" s="1"/>
  <c r="BB224" i="2"/>
  <c r="AX91" i="2"/>
  <c r="AX120" i="2" s="1"/>
  <c r="AX224" i="2"/>
  <c r="AT91" i="2"/>
  <c r="AT120" i="2" s="1"/>
  <c r="AT224" i="2"/>
  <c r="AP91" i="2"/>
  <c r="AP120" i="2" s="1"/>
  <c r="AP224" i="2"/>
  <c r="AL91" i="2"/>
  <c r="AL120" i="2" s="1"/>
  <c r="AL224" i="2"/>
  <c r="AH91" i="2"/>
  <c r="AH120" i="2" s="1"/>
  <c r="AH224" i="2"/>
  <c r="AD91" i="2"/>
  <c r="AD120" i="2" s="1"/>
  <c r="AD224" i="2"/>
  <c r="Z91" i="2"/>
  <c r="Z120" i="2" s="1"/>
  <c r="Z224" i="2"/>
  <c r="V91" i="2"/>
  <c r="V120" i="2" s="1"/>
  <c r="V224" i="2"/>
  <c r="R91" i="2"/>
  <c r="R120" i="2" s="1"/>
  <c r="R224" i="2"/>
  <c r="C212" i="2"/>
  <c r="D213" i="2"/>
  <c r="J91" i="2"/>
  <c r="J120" i="2" s="1"/>
  <c r="J224" i="2"/>
  <c r="BQ91" i="2"/>
  <c r="BQ120" i="2" s="1"/>
  <c r="BQ82" i="2"/>
  <c r="BQ224" i="2"/>
  <c r="I91" i="2"/>
  <c r="I120" i="2" s="1"/>
  <c r="I224" i="2"/>
  <c r="BG91" i="2"/>
  <c r="BG120" i="2" s="1"/>
  <c r="BG224" i="2"/>
  <c r="H91" i="2"/>
  <c r="H120" i="2" s="1"/>
  <c r="H224" i="2"/>
  <c r="BE91" i="2"/>
  <c r="BE120" i="2" s="1"/>
  <c r="BE224" i="2"/>
  <c r="BA91" i="2"/>
  <c r="BA120" i="2" s="1"/>
  <c r="BA224" i="2"/>
  <c r="AW91" i="2"/>
  <c r="AW120" i="2" s="1"/>
  <c r="AW224" i="2"/>
  <c r="AS91" i="2"/>
  <c r="AS120" i="2" s="1"/>
  <c r="AS224" i="2"/>
  <c r="AO91" i="2"/>
  <c r="AO120" i="2" s="1"/>
  <c r="AO224" i="2"/>
  <c r="AK91" i="2"/>
  <c r="AK120" i="2" s="1"/>
  <c r="AK224" i="2"/>
  <c r="AG91" i="2"/>
  <c r="AG120" i="2" s="1"/>
  <c r="AG224" i="2"/>
  <c r="AC91" i="2"/>
  <c r="AC120" i="2" s="1"/>
  <c r="AC224" i="2"/>
  <c r="Y91" i="2"/>
  <c r="Y120" i="2" s="1"/>
  <c r="Y224" i="2"/>
  <c r="U91" i="2"/>
  <c r="U120" i="2" s="1"/>
  <c r="U224" i="2"/>
  <c r="BK91" i="2"/>
  <c r="BK120" i="2" s="1"/>
  <c r="BK224" i="2"/>
  <c r="F91" i="2"/>
  <c r="F120" i="2" s="1"/>
  <c r="F224" i="2"/>
  <c r="BP91" i="2"/>
  <c r="BP120" i="2" s="1"/>
  <c r="BP82" i="2"/>
  <c r="BP224" i="2"/>
  <c r="BL91" i="2"/>
  <c r="BL120" i="2" s="1"/>
  <c r="BL224" i="2"/>
  <c r="BM91" i="2"/>
  <c r="BM120" i="2" s="1"/>
  <c r="BM82" i="2"/>
  <c r="BM224" i="2"/>
  <c r="E89" i="2"/>
  <c r="E90" i="2"/>
  <c r="E91" i="2"/>
  <c r="E120" i="2" s="1"/>
  <c r="E224" i="2"/>
  <c r="O91" i="2"/>
  <c r="O120" i="2" s="1"/>
  <c r="O224" i="2"/>
  <c r="N91" i="2"/>
  <c r="N120" i="2" s="1"/>
  <c r="N224" i="2"/>
  <c r="BD91" i="2"/>
  <c r="BD120" i="2" s="1"/>
  <c r="BD224" i="2"/>
  <c r="AZ91" i="2"/>
  <c r="AZ120" i="2" s="1"/>
  <c r="AZ224" i="2"/>
  <c r="AV91" i="2"/>
  <c r="AV120" i="2" s="1"/>
  <c r="AV224" i="2"/>
  <c r="AR91" i="2"/>
  <c r="AR120" i="2" s="1"/>
  <c r="AR224" i="2"/>
  <c r="AN91" i="2"/>
  <c r="AN120" i="2" s="1"/>
  <c r="AN224" i="2"/>
  <c r="AJ91" i="2"/>
  <c r="AJ120" i="2" s="1"/>
  <c r="AJ224" i="2"/>
  <c r="AF91" i="2"/>
  <c r="AF120" i="2" s="1"/>
  <c r="AF224" i="2"/>
  <c r="AB91" i="2"/>
  <c r="AB120" i="2" s="1"/>
  <c r="AB224" i="2"/>
  <c r="X91" i="2"/>
  <c r="X120" i="2" s="1"/>
  <c r="X224" i="2"/>
  <c r="T91" i="2"/>
  <c r="T120" i="2" s="1"/>
  <c r="T224" i="2"/>
  <c r="L91" i="2"/>
  <c r="L120" i="2" s="1"/>
  <c r="L224" i="2"/>
  <c r="BN91" i="2"/>
  <c r="BN120" i="2" s="1"/>
  <c r="BN82" i="2"/>
  <c r="BN224" i="2"/>
  <c r="Q91" i="2"/>
  <c r="Q120" i="2" s="1"/>
  <c r="Q224" i="2"/>
  <c r="G91" i="2"/>
  <c r="G120" i="2" s="1"/>
  <c r="G224" i="2"/>
  <c r="BC91" i="2"/>
  <c r="BC120" i="2" s="1"/>
  <c r="BC224" i="2"/>
  <c r="AY91" i="2"/>
  <c r="AY120" i="2" s="1"/>
  <c r="AY224" i="2"/>
  <c r="AU91" i="2"/>
  <c r="AU120" i="2" s="1"/>
  <c r="AU224" i="2"/>
  <c r="AQ91" i="2"/>
  <c r="AQ120" i="2" s="1"/>
  <c r="AQ224" i="2"/>
  <c r="AM91" i="2"/>
  <c r="AM120" i="2" s="1"/>
  <c r="AM224" i="2"/>
  <c r="AI91" i="2"/>
  <c r="AI120" i="2" s="1"/>
  <c r="AI224" i="2"/>
  <c r="AE91" i="2"/>
  <c r="AE120" i="2" s="1"/>
  <c r="AE224" i="2"/>
  <c r="AA91" i="2"/>
  <c r="AA120" i="2" s="1"/>
  <c r="AA224" i="2"/>
  <c r="W91" i="2"/>
  <c r="W120" i="2" s="1"/>
  <c r="W224" i="2"/>
  <c r="M91" i="2"/>
  <c r="M120" i="2" s="1"/>
  <c r="M224" i="2"/>
  <c r="BH91" i="2"/>
  <c r="BH120" i="2" s="1"/>
  <c r="BH224" i="2"/>
  <c r="BJ91" i="2"/>
  <c r="BJ120" i="2" s="1"/>
  <c r="BJ224" i="2"/>
  <c r="S91" i="2"/>
  <c r="S120" i="2" s="1"/>
  <c r="S224" i="2"/>
  <c r="BI91" i="2"/>
  <c r="BI120" i="2" s="1"/>
  <c r="BI224" i="2"/>
  <c r="P91" i="2"/>
  <c r="P120" i="2" s="1"/>
  <c r="P224" i="2"/>
  <c r="BO91" i="2"/>
  <c r="BO120" i="2" s="1"/>
  <c r="BO82" i="2"/>
  <c r="BO224" i="2"/>
  <c r="K91" i="2"/>
  <c r="K120" i="2" s="1"/>
  <c r="K224" i="2"/>
  <c r="BK218" i="2" l="1"/>
  <c r="H34" i="5" s="1"/>
  <c r="D16" i="5"/>
  <c r="E16" i="5"/>
  <c r="E18" i="5" s="1"/>
  <c r="G16" i="5"/>
  <c r="G18" i="5" s="1"/>
  <c r="F16" i="5"/>
  <c r="F18" i="5" s="1"/>
  <c r="BF89" i="2"/>
  <c r="BF90" i="2"/>
  <c r="K223" i="2"/>
  <c r="K225" i="2" s="1"/>
  <c r="BH92" i="2"/>
  <c r="BH94" i="2" s="1"/>
  <c r="W223" i="2"/>
  <c r="W225" i="2" s="1"/>
  <c r="AQ92" i="2"/>
  <c r="AQ94" i="2" s="1"/>
  <c r="AY223" i="2"/>
  <c r="AY225" i="2" s="1"/>
  <c r="BC223" i="2"/>
  <c r="BC225" i="2" s="1"/>
  <c r="T223" i="2"/>
  <c r="T225" i="2" s="1"/>
  <c r="X92" i="2"/>
  <c r="X94" i="2" s="1"/>
  <c r="AN92" i="2"/>
  <c r="AN94" i="2" s="1"/>
  <c r="AR92" i="2"/>
  <c r="AR94" i="2" s="1"/>
  <c r="U223" i="2"/>
  <c r="U225" i="2" s="1"/>
  <c r="AO92" i="2"/>
  <c r="AO94" i="2" s="1"/>
  <c r="BA223" i="2"/>
  <c r="BA225" i="2" s="1"/>
  <c r="V92" i="2"/>
  <c r="V94" i="2" s="1"/>
  <c r="AD223" i="2"/>
  <c r="AD225" i="2" s="1"/>
  <c r="AT223" i="2"/>
  <c r="AT225" i="2" s="1"/>
  <c r="BJ223" i="2"/>
  <c r="BJ225" i="2" s="1"/>
  <c r="AZ223" i="2"/>
  <c r="AZ225" i="2" s="1"/>
  <c r="AK223" i="2"/>
  <c r="AK225" i="2" s="1"/>
  <c r="AX223" i="2"/>
  <c r="AX225" i="2" s="1"/>
  <c r="P223" i="2"/>
  <c r="P225" i="2" s="1"/>
  <c r="S223" i="2"/>
  <c r="S225" i="2" s="1"/>
  <c r="G223" i="2"/>
  <c r="G225" i="2" s="1"/>
  <c r="Q223" i="2"/>
  <c r="Q225" i="2" s="1"/>
  <c r="BL223" i="2"/>
  <c r="BL225" i="2" s="1"/>
  <c r="H223" i="2"/>
  <c r="H225" i="2" s="1"/>
  <c r="AH223" i="2"/>
  <c r="AH225" i="2" s="1"/>
  <c r="J223" i="2"/>
  <c r="J225" i="2" s="1"/>
  <c r="BI92" i="2"/>
  <c r="BI94" i="2" s="1"/>
  <c r="M92" i="2"/>
  <c r="M94" i="2" s="1"/>
  <c r="AM92" i="2"/>
  <c r="AM94" i="2" s="1"/>
  <c r="AJ92" i="2"/>
  <c r="AJ94" i="2" s="1"/>
  <c r="BK92" i="2"/>
  <c r="BK94" i="2" s="1"/>
  <c r="AC223" i="2"/>
  <c r="AC225" i="2" s="1"/>
  <c r="I223" i="2"/>
  <c r="I225" i="2" s="1"/>
  <c r="AL223" i="2"/>
  <c r="AL225" i="2" s="1"/>
  <c r="AP92" i="2"/>
  <c r="AP94" i="2" s="1"/>
  <c r="BB223" i="2"/>
  <c r="BB225" i="2" s="1"/>
  <c r="Z223" i="2"/>
  <c r="Z225" i="2" s="1"/>
  <c r="BI223" i="2"/>
  <c r="BI225" i="2" s="1"/>
  <c r="AF92" i="2"/>
  <c r="AF94" i="2" s="1"/>
  <c r="Y223" i="2"/>
  <c r="Y225" i="2" s="1"/>
  <c r="AG92" i="2"/>
  <c r="AG94" i="2" s="1"/>
  <c r="AU223" i="2"/>
  <c r="AU225" i="2" s="1"/>
  <c r="BD223" i="2"/>
  <c r="BD225" i="2" s="1"/>
  <c r="N223" i="2"/>
  <c r="N225" i="2" s="1"/>
  <c r="AS223" i="2"/>
  <c r="AS225" i="2" s="1"/>
  <c r="BG223" i="2"/>
  <c r="BG225" i="2" s="1"/>
  <c r="AE223" i="2"/>
  <c r="AE225" i="2" s="1"/>
  <c r="AQ223" i="2"/>
  <c r="AQ225" i="2" s="1"/>
  <c r="BN92" i="2"/>
  <c r="BN94" i="2" s="1"/>
  <c r="L223" i="2"/>
  <c r="L225" i="2" s="1"/>
  <c r="F223" i="2"/>
  <c r="F225" i="2" s="1"/>
  <c r="AW223" i="2"/>
  <c r="AW225" i="2" s="1"/>
  <c r="X296" i="2"/>
  <c r="X308" i="2"/>
  <c r="AJ296" i="2"/>
  <c r="AJ308" i="2"/>
  <c r="K296" i="2"/>
  <c r="K308" i="2"/>
  <c r="K92" i="2"/>
  <c r="K94" i="2" s="1"/>
  <c r="S92" i="2"/>
  <c r="S94" i="2" s="1"/>
  <c r="M223" i="2"/>
  <c r="M225" i="2" s="1"/>
  <c r="W296" i="2"/>
  <c r="W308" i="2"/>
  <c r="AA296" i="2"/>
  <c r="AA308" i="2"/>
  <c r="AI296" i="2"/>
  <c r="AI308" i="2"/>
  <c r="AI92" i="2"/>
  <c r="AI94" i="2" s="1"/>
  <c r="AM223" i="2"/>
  <c r="AM225" i="2" s="1"/>
  <c r="AU92" i="2"/>
  <c r="AU94" i="2" s="1"/>
  <c r="AY296" i="2"/>
  <c r="AY308" i="2"/>
  <c r="AY92" i="2"/>
  <c r="AY94" i="2" s="1"/>
  <c r="BC296" i="2"/>
  <c r="BC308" i="2"/>
  <c r="Q296" i="2"/>
  <c r="Q308" i="2"/>
  <c r="L92" i="2"/>
  <c r="L94" i="2" s="1"/>
  <c r="T296" i="2"/>
  <c r="T308" i="2"/>
  <c r="T92" i="2"/>
  <c r="T94" i="2" s="1"/>
  <c r="AB92" i="2"/>
  <c r="AB94" i="2" s="1"/>
  <c r="AF223" i="2"/>
  <c r="AF225" i="2" s="1"/>
  <c r="AJ223" i="2"/>
  <c r="AJ225" i="2" s="1"/>
  <c r="AV223" i="2"/>
  <c r="AV225" i="2" s="1"/>
  <c r="O223" i="2"/>
  <c r="O225" i="2" s="1"/>
  <c r="E92" i="2"/>
  <c r="BM223" i="2"/>
  <c r="BM225" i="2" s="1"/>
  <c r="BL92" i="2"/>
  <c r="BL94" i="2" s="1"/>
  <c r="BP223" i="2"/>
  <c r="BP225" i="2" s="1"/>
  <c r="F92" i="2"/>
  <c r="F94" i="2" s="1"/>
  <c r="U296" i="2"/>
  <c r="U308" i="2"/>
  <c r="AG296" i="2"/>
  <c r="AG308" i="2"/>
  <c r="AK92" i="2"/>
  <c r="AK94" i="2" s="1"/>
  <c r="AS92" i="2"/>
  <c r="AS94" i="2" s="1"/>
  <c r="AW92" i="2"/>
  <c r="AW94" i="2" s="1"/>
  <c r="BA296" i="2"/>
  <c r="BA308" i="2"/>
  <c r="BE308" i="2"/>
  <c r="BE296" i="2"/>
  <c r="H296" i="2"/>
  <c r="H308" i="2"/>
  <c r="BG296" i="2"/>
  <c r="BG308" i="2"/>
  <c r="R223" i="2"/>
  <c r="R225" i="2" s="1"/>
  <c r="V223" i="2"/>
  <c r="V225" i="2" s="1"/>
  <c r="AH296" i="2"/>
  <c r="AH308" i="2"/>
  <c r="AL308" i="2"/>
  <c r="AL296" i="2"/>
  <c r="BB92" i="2"/>
  <c r="BB94" i="2" s="1"/>
  <c r="BI296" i="2"/>
  <c r="BI308" i="2"/>
  <c r="BH296" i="2"/>
  <c r="BH308" i="2"/>
  <c r="AA92" i="2"/>
  <c r="AA94" i="2" s="1"/>
  <c r="AE92" i="2"/>
  <c r="AE94" i="2" s="1"/>
  <c r="AB296" i="2"/>
  <c r="AB308" i="2"/>
  <c r="AF296" i="2"/>
  <c r="AF308" i="2"/>
  <c r="AR223" i="2"/>
  <c r="AR225" i="2" s="1"/>
  <c r="AV92" i="2"/>
  <c r="AV94" i="2" s="1"/>
  <c r="BD92" i="2"/>
  <c r="BD94" i="2" s="1"/>
  <c r="N92" i="2"/>
  <c r="N94" i="2" s="1"/>
  <c r="O92" i="2"/>
  <c r="O94" i="2" s="1"/>
  <c r="E308" i="2"/>
  <c r="E296" i="2"/>
  <c r="BP92" i="2"/>
  <c r="BP94" i="2" s="1"/>
  <c r="AG223" i="2"/>
  <c r="AG225" i="2" s="1"/>
  <c r="AW296" i="2"/>
  <c r="AW308" i="2"/>
  <c r="BE92" i="2"/>
  <c r="BE94" i="2" s="1"/>
  <c r="I92" i="2"/>
  <c r="I94" i="2" s="1"/>
  <c r="BQ223" i="2"/>
  <c r="BQ225" i="2" s="1"/>
  <c r="C213" i="2"/>
  <c r="C279" i="2" s="1"/>
  <c r="C281" i="2" s="1"/>
  <c r="D217" i="2"/>
  <c r="R296" i="2"/>
  <c r="R308" i="2"/>
  <c r="AL92" i="2"/>
  <c r="AL94" i="2" s="1"/>
  <c r="AX296" i="2"/>
  <c r="AX308" i="2"/>
  <c r="BB296" i="2"/>
  <c r="BB308" i="2"/>
  <c r="BO223" i="2"/>
  <c r="BO225" i="2" s="1"/>
  <c r="P92" i="2"/>
  <c r="P94" i="2" s="1"/>
  <c r="BJ296" i="2"/>
  <c r="BJ308" i="2"/>
  <c r="M296" i="2"/>
  <c r="M308" i="2"/>
  <c r="G92" i="2"/>
  <c r="G94" i="2" s="1"/>
  <c r="BO92" i="2"/>
  <c r="BO94" i="2" s="1"/>
  <c r="P296" i="2"/>
  <c r="P308" i="2"/>
  <c r="S308" i="2"/>
  <c r="S296" i="2"/>
  <c r="BJ92" i="2"/>
  <c r="BJ94" i="2" s="1"/>
  <c r="BH223" i="2"/>
  <c r="BH225" i="2" s="1"/>
  <c r="W92" i="2"/>
  <c r="W94" i="2" s="1"/>
  <c r="AA223" i="2"/>
  <c r="AA225" i="2" s="1"/>
  <c r="AI223" i="2"/>
  <c r="AI225" i="2" s="1"/>
  <c r="AQ296" i="2"/>
  <c r="AQ308" i="2"/>
  <c r="AU296" i="2"/>
  <c r="AU308" i="2"/>
  <c r="BC92" i="2"/>
  <c r="BC94" i="2" s="1"/>
  <c r="G296" i="2"/>
  <c r="G308" i="2"/>
  <c r="Q92" i="2"/>
  <c r="Q94" i="2" s="1"/>
  <c r="BN223" i="2"/>
  <c r="BN225" i="2" s="1"/>
  <c r="L296" i="2"/>
  <c r="L308" i="2"/>
  <c r="X223" i="2"/>
  <c r="X225" i="2" s="1"/>
  <c r="AB223" i="2"/>
  <c r="AB225" i="2" s="1"/>
  <c r="AN223" i="2"/>
  <c r="AN225" i="2" s="1"/>
  <c r="AR296" i="2"/>
  <c r="AR308" i="2"/>
  <c r="AV296" i="2"/>
  <c r="AV308" i="2"/>
  <c r="AZ92" i="2"/>
  <c r="AZ94" i="2" s="1"/>
  <c r="BD296" i="2"/>
  <c r="BD308" i="2"/>
  <c r="N296" i="2"/>
  <c r="N308" i="2"/>
  <c r="O296" i="2"/>
  <c r="O308" i="2"/>
  <c r="F296" i="2"/>
  <c r="F308" i="2"/>
  <c r="BK223" i="2"/>
  <c r="BK225" i="2" s="1"/>
  <c r="U92" i="2"/>
  <c r="U94" i="2" s="1"/>
  <c r="Y92" i="2"/>
  <c r="Y94" i="2" s="1"/>
  <c r="AC92" i="2"/>
  <c r="AC94" i="2" s="1"/>
  <c r="AO223" i="2"/>
  <c r="AO225" i="2" s="1"/>
  <c r="AS296" i="2"/>
  <c r="AS308" i="2"/>
  <c r="BE223" i="2"/>
  <c r="BE225" i="2" s="1"/>
  <c r="H92" i="2"/>
  <c r="H94" i="2" s="1"/>
  <c r="I296" i="2"/>
  <c r="I308" i="2"/>
  <c r="BQ92" i="2"/>
  <c r="BQ94" i="2" s="1"/>
  <c r="J92" i="2"/>
  <c r="J94" i="2" s="1"/>
  <c r="R92" i="2"/>
  <c r="R94" i="2" s="1"/>
  <c r="Z92" i="2"/>
  <c r="Z94" i="2" s="1"/>
  <c r="AD296" i="2"/>
  <c r="AD308" i="2"/>
  <c r="AD92" i="2"/>
  <c r="AD94" i="2" s="1"/>
  <c r="AH92" i="2"/>
  <c r="AH94" i="2" s="1"/>
  <c r="AP223" i="2"/>
  <c r="AP225" i="2" s="1"/>
  <c r="AT92" i="2"/>
  <c r="AT94" i="2" s="1"/>
  <c r="AX92" i="2"/>
  <c r="AX94" i="2" s="1"/>
  <c r="BF91" i="2"/>
  <c r="BF224" i="2"/>
  <c r="AE296" i="2"/>
  <c r="AE308" i="2"/>
  <c r="AM296" i="2"/>
  <c r="AM308" i="2"/>
  <c r="AN296" i="2"/>
  <c r="AN308" i="2"/>
  <c r="AZ296" i="2"/>
  <c r="AZ308" i="2"/>
  <c r="E223" i="2"/>
  <c r="C82" i="2"/>
  <c r="BM92" i="2"/>
  <c r="BM94" i="2" s="1"/>
  <c r="BK296" i="2"/>
  <c r="BK308" i="2"/>
  <c r="Y296" i="2"/>
  <c r="Y308" i="2"/>
  <c r="AC296" i="2"/>
  <c r="AC308" i="2"/>
  <c r="AK296" i="2"/>
  <c r="AK308" i="2"/>
  <c r="AO308" i="2"/>
  <c r="AO296" i="2"/>
  <c r="BA92" i="2"/>
  <c r="BA94" i="2" s="1"/>
  <c r="BG92" i="2"/>
  <c r="BG94" i="2" s="1"/>
  <c r="J308" i="2"/>
  <c r="J296" i="2"/>
  <c r="V296" i="2"/>
  <c r="V308" i="2"/>
  <c r="Z296" i="2"/>
  <c r="Z308" i="2"/>
  <c r="AP296" i="2"/>
  <c r="AP308" i="2"/>
  <c r="AT296" i="2"/>
  <c r="AT308" i="2"/>
  <c r="D37" i="5" l="1"/>
  <c r="D18" i="5"/>
  <c r="AY95" i="2"/>
  <c r="AM95" i="2"/>
  <c r="F36" i="5" s="1"/>
  <c r="AA95" i="2"/>
  <c r="E50" i="5" s="1"/>
  <c r="F50" i="5" s="1"/>
  <c r="O218" i="2"/>
  <c r="D34" i="5" s="1"/>
  <c r="F37" i="5"/>
  <c r="G37" i="5"/>
  <c r="E37" i="5"/>
  <c r="C91" i="2"/>
  <c r="BF120" i="2"/>
  <c r="C120" i="2" s="1"/>
  <c r="BF223" i="2"/>
  <c r="BF225" i="2" s="1"/>
  <c r="C90" i="2"/>
  <c r="BF92" i="2"/>
  <c r="BF94" i="2" s="1"/>
  <c r="BK95" i="2" s="1"/>
  <c r="C217" i="2"/>
  <c r="I290" i="2" s="1"/>
  <c r="I281" i="2"/>
  <c r="J281" i="2" s="1"/>
  <c r="K281" i="2" s="1"/>
  <c r="L281" i="2" s="1"/>
  <c r="M281" i="2" s="1"/>
  <c r="N281" i="2" s="1"/>
  <c r="O281" i="2" s="1"/>
  <c r="P281" i="2" s="1"/>
  <c r="Q281" i="2" s="1"/>
  <c r="R281" i="2" s="1"/>
  <c r="S281" i="2" s="1"/>
  <c r="T281" i="2" s="1"/>
  <c r="U281" i="2" s="1"/>
  <c r="V281" i="2" s="1"/>
  <c r="W281" i="2" s="1"/>
  <c r="X281" i="2" s="1"/>
  <c r="Y281" i="2" s="1"/>
  <c r="Z281" i="2" s="1"/>
  <c r="AA281" i="2" s="1"/>
  <c r="AB281" i="2" s="1"/>
  <c r="AC281" i="2" s="1"/>
  <c r="AD281" i="2" s="1"/>
  <c r="AE281" i="2" s="1"/>
  <c r="AF281" i="2" s="1"/>
  <c r="AG281" i="2" s="1"/>
  <c r="AH281" i="2" s="1"/>
  <c r="AI281" i="2" s="1"/>
  <c r="AJ281" i="2" s="1"/>
  <c r="AK281" i="2" s="1"/>
  <c r="AL281" i="2" s="1"/>
  <c r="AM281" i="2" s="1"/>
  <c r="AN281" i="2" s="1"/>
  <c r="AO281" i="2" s="1"/>
  <c r="AP281" i="2" s="1"/>
  <c r="AQ281" i="2" s="1"/>
  <c r="AR281" i="2" s="1"/>
  <c r="AS281" i="2" s="1"/>
  <c r="AT281" i="2" s="1"/>
  <c r="AU281" i="2" s="1"/>
  <c r="AV281" i="2" s="1"/>
  <c r="AW281" i="2" s="1"/>
  <c r="AX281" i="2" s="1"/>
  <c r="AY281" i="2" s="1"/>
  <c r="AZ281" i="2" s="1"/>
  <c r="BA281" i="2" s="1"/>
  <c r="BB281" i="2" s="1"/>
  <c r="BC281" i="2" s="1"/>
  <c r="BD281" i="2" s="1"/>
  <c r="BE281" i="2" s="1"/>
  <c r="BF281" i="2" s="1"/>
  <c r="BG281" i="2" s="1"/>
  <c r="BH281" i="2" s="1"/>
  <c r="BI281" i="2" s="1"/>
  <c r="BJ281" i="2" s="1"/>
  <c r="BK281" i="2" s="1"/>
  <c r="BL281" i="2" s="1"/>
  <c r="BM281" i="2" s="1"/>
  <c r="BN281" i="2" s="1"/>
  <c r="D295" i="2"/>
  <c r="D224" i="2"/>
  <c r="E94" i="2"/>
  <c r="BF296" i="2"/>
  <c r="BF308" i="2"/>
  <c r="E225" i="2"/>
  <c r="C89" i="2"/>
  <c r="O95" i="2" l="1"/>
  <c r="D61" i="5"/>
  <c r="E36" i="5"/>
  <c r="G36" i="5"/>
  <c r="H16" i="5"/>
  <c r="C92" i="2"/>
  <c r="C223" i="2"/>
  <c r="C94" i="2"/>
  <c r="P13" i="3" s="1"/>
  <c r="C224" i="2"/>
  <c r="D225" i="2"/>
  <c r="C295" i="2"/>
  <c r="C303" i="2" s="1"/>
  <c r="D308" i="2"/>
  <c r="BG290" i="2"/>
  <c r="AQ290" i="2"/>
  <c r="AI290" i="2"/>
  <c r="BJ290" i="2"/>
  <c r="AP290" i="2"/>
  <c r="K290" i="2"/>
  <c r="S290" i="2"/>
  <c r="AU290" i="2"/>
  <c r="BB290" i="2"/>
  <c r="AL290" i="2"/>
  <c r="AH290" i="2"/>
  <c r="J290" i="2"/>
  <c r="BI290" i="2"/>
  <c r="AS290" i="2"/>
  <c r="AK290" i="2"/>
  <c r="AG290" i="2"/>
  <c r="L290" i="2"/>
  <c r="AZ290" i="2"/>
  <c r="AV290" i="2"/>
  <c r="AJ290" i="2"/>
  <c r="AF290" i="2"/>
  <c r="U290" i="2"/>
  <c r="P290" i="2"/>
  <c r="BD290" i="2"/>
  <c r="AY290" i="2"/>
  <c r="AM290" i="2"/>
  <c r="AA290" i="2"/>
  <c r="BL290" i="2"/>
  <c r="BF290" i="2"/>
  <c r="AX290" i="2"/>
  <c r="AD290" i="2"/>
  <c r="T290" i="2"/>
  <c r="AW290" i="2"/>
  <c r="AO290" i="2"/>
  <c r="AC290" i="2"/>
  <c r="Y290" i="2"/>
  <c r="AN290" i="2"/>
  <c r="BN290" i="2"/>
  <c r="BC290" i="2"/>
  <c r="AE290" i="2"/>
  <c r="W290" i="2"/>
  <c r="O290" i="2"/>
  <c r="N290" i="2"/>
  <c r="M290" i="2"/>
  <c r="AT290" i="2"/>
  <c r="Z290" i="2"/>
  <c r="BE290" i="2"/>
  <c r="BA290" i="2"/>
  <c r="BH290" i="2"/>
  <c r="AR290" i="2"/>
  <c r="AB290" i="2"/>
  <c r="BM290" i="2"/>
  <c r="X290" i="2"/>
  <c r="Q290" i="2"/>
  <c r="V290" i="2"/>
  <c r="R290" i="2"/>
  <c r="BK290" i="2"/>
  <c r="E61" i="5" l="1"/>
  <c r="D63" i="5"/>
  <c r="H36" i="5"/>
  <c r="H37" i="5"/>
  <c r="C93" i="2"/>
  <c r="BO290" i="2"/>
  <c r="C225" i="2"/>
  <c r="D226" i="2"/>
  <c r="C308" i="2"/>
  <c r="D309" i="2"/>
  <c r="F61" i="5" l="1"/>
  <c r="E63" i="5"/>
  <c r="H12" i="5"/>
  <c r="E20" i="5"/>
  <c r="F20" i="5"/>
  <c r="G20" i="5"/>
  <c r="L116" i="2"/>
  <c r="T116" i="2"/>
  <c r="AB116" i="2"/>
  <c r="AJ116" i="2"/>
  <c r="AR116" i="2"/>
  <c r="AZ116" i="2"/>
  <c r="BH116" i="2"/>
  <c r="BP116" i="2"/>
  <c r="AE116" i="2"/>
  <c r="AM116" i="2"/>
  <c r="BC116" i="2"/>
  <c r="E116" i="2"/>
  <c r="M116" i="2"/>
  <c r="U116" i="2"/>
  <c r="AC116" i="2"/>
  <c r="AK116" i="2"/>
  <c r="AS116" i="2"/>
  <c r="BA116" i="2"/>
  <c r="BI116" i="2"/>
  <c r="BQ116" i="2"/>
  <c r="W116" i="2"/>
  <c r="F116" i="2"/>
  <c r="N116" i="2"/>
  <c r="V116" i="2"/>
  <c r="AD116" i="2"/>
  <c r="AL116" i="2"/>
  <c r="AT116" i="2"/>
  <c r="BB116" i="2"/>
  <c r="BJ116" i="2"/>
  <c r="D116" i="2"/>
  <c r="O116" i="2"/>
  <c r="AU116" i="2"/>
  <c r="BK116" i="2"/>
  <c r="G116" i="2"/>
  <c r="H116" i="2"/>
  <c r="P116" i="2"/>
  <c r="X116" i="2"/>
  <c r="AF116" i="2"/>
  <c r="AN116" i="2"/>
  <c r="AV116" i="2"/>
  <c r="BD116" i="2"/>
  <c r="BL116" i="2"/>
  <c r="S116" i="2"/>
  <c r="BG116" i="2"/>
  <c r="I116" i="2"/>
  <c r="Q116" i="2"/>
  <c r="Y116" i="2"/>
  <c r="AG116" i="2"/>
  <c r="AO116" i="2"/>
  <c r="AW116" i="2"/>
  <c r="BE116" i="2"/>
  <c r="BM116" i="2"/>
  <c r="K116" i="2"/>
  <c r="AI116" i="2"/>
  <c r="AY116" i="2"/>
  <c r="J116" i="2"/>
  <c r="R116" i="2"/>
  <c r="Z116" i="2"/>
  <c r="AH116" i="2"/>
  <c r="AP116" i="2"/>
  <c r="AX116" i="2"/>
  <c r="BF116" i="2"/>
  <c r="BN116" i="2"/>
  <c r="AA116" i="2"/>
  <c r="AQ116" i="2"/>
  <c r="BO116" i="2"/>
  <c r="D227" i="2"/>
  <c r="E226" i="2"/>
  <c r="D310" i="2"/>
  <c r="H18" i="5" l="1"/>
  <c r="H20" i="5" s="1"/>
  <c r="G61" i="5"/>
  <c r="F63" i="5"/>
  <c r="D20" i="5"/>
  <c r="E227" i="2"/>
  <c r="F226" i="2"/>
  <c r="F227" i="2" s="1"/>
  <c r="I282" i="2"/>
  <c r="D229" i="2"/>
  <c r="D252" i="2" l="1"/>
  <c r="I284" i="2" s="1"/>
  <c r="H61" i="5"/>
  <c r="H63" i="5" s="1"/>
  <c r="G63" i="5"/>
  <c r="I280" i="2"/>
  <c r="I283" i="2" s="1"/>
  <c r="D230" i="2"/>
  <c r="G226" i="2"/>
  <c r="G227" i="2" s="1"/>
  <c r="J282" i="2"/>
  <c r="E229" i="2"/>
  <c r="E252" i="2" s="1"/>
  <c r="D253" i="2" l="1"/>
  <c r="D294" i="2"/>
  <c r="C294" i="2" s="1"/>
  <c r="B296" i="2" s="1"/>
  <c r="H226" i="2"/>
  <c r="H227" i="2" s="1"/>
  <c r="E233" i="2"/>
  <c r="E230" i="2"/>
  <c r="J280" i="2"/>
  <c r="J283" i="2" s="1"/>
  <c r="K282" i="2"/>
  <c r="F229" i="2"/>
  <c r="D296" i="2" l="1"/>
  <c r="C299" i="2" s="1"/>
  <c r="F252" i="2"/>
  <c r="F307" i="2" s="1"/>
  <c r="F309" i="2" s="1"/>
  <c r="F233" i="2"/>
  <c r="G229" i="2"/>
  <c r="G233" i="2" s="1"/>
  <c r="L282" i="2"/>
  <c r="F230" i="2"/>
  <c r="K280" i="2"/>
  <c r="K283" i="2" s="1"/>
  <c r="E253" i="2"/>
  <c r="J284" i="2"/>
  <c r="E307" i="2"/>
  <c r="E234" i="2"/>
  <c r="I226" i="2"/>
  <c r="I227" i="2" s="1"/>
  <c r="C296" i="2" l="1"/>
  <c r="C300" i="2" s="1"/>
  <c r="D297" i="2"/>
  <c r="E297" i="2" s="1"/>
  <c r="F297" i="2" s="1"/>
  <c r="G297" i="2" s="1"/>
  <c r="H297" i="2" s="1"/>
  <c r="I297" i="2" s="1"/>
  <c r="J297" i="2" s="1"/>
  <c r="K297" i="2" s="1"/>
  <c r="L297" i="2" s="1"/>
  <c r="M297" i="2" s="1"/>
  <c r="N297" i="2" s="1"/>
  <c r="O297" i="2" s="1"/>
  <c r="P297" i="2" s="1"/>
  <c r="Q297" i="2" s="1"/>
  <c r="R297" i="2" s="1"/>
  <c r="S297" i="2" s="1"/>
  <c r="T297" i="2" s="1"/>
  <c r="U297" i="2" s="1"/>
  <c r="V297" i="2" s="1"/>
  <c r="W297" i="2" s="1"/>
  <c r="X297" i="2" s="1"/>
  <c r="Y297" i="2" s="1"/>
  <c r="Z297" i="2" s="1"/>
  <c r="AA297" i="2" s="1"/>
  <c r="AB297" i="2" s="1"/>
  <c r="AC297" i="2" s="1"/>
  <c r="AD297" i="2" s="1"/>
  <c r="AE297" i="2" s="1"/>
  <c r="AF297" i="2" s="1"/>
  <c r="AG297" i="2" s="1"/>
  <c r="AH297" i="2" s="1"/>
  <c r="AI297" i="2" s="1"/>
  <c r="AJ297" i="2" s="1"/>
  <c r="AK297" i="2" s="1"/>
  <c r="AL297" i="2" s="1"/>
  <c r="AM297" i="2" s="1"/>
  <c r="AN297" i="2" s="1"/>
  <c r="AO297" i="2" s="1"/>
  <c r="AP297" i="2" s="1"/>
  <c r="AQ297" i="2" s="1"/>
  <c r="AR297" i="2" s="1"/>
  <c r="AS297" i="2" s="1"/>
  <c r="AT297" i="2" s="1"/>
  <c r="AU297" i="2" s="1"/>
  <c r="AV297" i="2" s="1"/>
  <c r="AW297" i="2" s="1"/>
  <c r="AX297" i="2" s="1"/>
  <c r="AY297" i="2" s="1"/>
  <c r="AZ297" i="2" s="1"/>
  <c r="BA297" i="2" s="1"/>
  <c r="BB297" i="2" s="1"/>
  <c r="BC297" i="2" s="1"/>
  <c r="BD297" i="2" s="1"/>
  <c r="BE297" i="2" s="1"/>
  <c r="BF297" i="2" s="1"/>
  <c r="BG297" i="2" s="1"/>
  <c r="BH297" i="2" s="1"/>
  <c r="BI297" i="2" s="1"/>
  <c r="BJ297" i="2" s="1"/>
  <c r="BK297" i="2" s="1"/>
  <c r="BL297" i="2" s="1"/>
  <c r="BM297" i="2" s="1"/>
  <c r="BN297" i="2" s="1"/>
  <c r="F253" i="2"/>
  <c r="K284" i="2"/>
  <c r="E309" i="2"/>
  <c r="G230" i="2"/>
  <c r="L280" i="2"/>
  <c r="L283" i="2" s="1"/>
  <c r="M282" i="2"/>
  <c r="H229" i="2"/>
  <c r="F234" i="2"/>
  <c r="J226" i="2"/>
  <c r="J227" i="2" s="1"/>
  <c r="G252" i="2"/>
  <c r="C301" i="2" l="1"/>
  <c r="H252" i="2"/>
  <c r="H307" i="2" s="1"/>
  <c r="H309" i="2" s="1"/>
  <c r="H233" i="2"/>
  <c r="G307" i="2"/>
  <c r="G253" i="2"/>
  <c r="L284" i="2"/>
  <c r="E310" i="2"/>
  <c r="I229" i="2"/>
  <c r="I233" i="2" s="1"/>
  <c r="N282" i="2"/>
  <c r="K226" i="2"/>
  <c r="K227" i="2" s="1"/>
  <c r="H230" i="2"/>
  <c r="M280" i="2"/>
  <c r="M283" i="2" s="1"/>
  <c r="G234" i="2"/>
  <c r="M284" i="2" l="1"/>
  <c r="O282" i="2"/>
  <c r="J229" i="2"/>
  <c r="H234" i="2"/>
  <c r="I230" i="2"/>
  <c r="N280" i="2"/>
  <c r="N283" i="2" s="1"/>
  <c r="F310" i="2"/>
  <c r="G309" i="2"/>
  <c r="H253" i="2"/>
  <c r="L226" i="2"/>
  <c r="L227" i="2" s="1"/>
  <c r="I252" i="2"/>
  <c r="D328" i="2" s="1"/>
  <c r="J252" i="2" l="1"/>
  <c r="J307" i="2" s="1"/>
  <c r="J309" i="2" s="1"/>
  <c r="J233" i="2"/>
  <c r="G310" i="2"/>
  <c r="H310" i="2" s="1"/>
  <c r="P282" i="2"/>
  <c r="K229" i="2"/>
  <c r="I253" i="2"/>
  <c r="I307" i="2"/>
  <c r="N284" i="2"/>
  <c r="I234" i="2"/>
  <c r="M226" i="2"/>
  <c r="M227" i="2" s="1"/>
  <c r="J230" i="2"/>
  <c r="O280" i="2"/>
  <c r="O283" i="2" s="1"/>
  <c r="D329" i="2" l="1"/>
  <c r="O284" i="2"/>
  <c r="J253" i="2"/>
  <c r="K252" i="2"/>
  <c r="K307" i="2" s="1"/>
  <c r="K309" i="2" s="1"/>
  <c r="K233" i="2"/>
  <c r="L229" i="2"/>
  <c r="Q282" i="2"/>
  <c r="K230" i="2"/>
  <c r="P280" i="2"/>
  <c r="P283" i="2" s="1"/>
  <c r="J234" i="2"/>
  <c r="N226" i="2"/>
  <c r="N227" i="2" s="1"/>
  <c r="I309" i="2"/>
  <c r="P284" i="2" l="1"/>
  <c r="K253" i="2"/>
  <c r="L252" i="2"/>
  <c r="L307" i="2" s="1"/>
  <c r="L233" i="2"/>
  <c r="K234" i="2"/>
  <c r="I310" i="2"/>
  <c r="R282" i="2"/>
  <c r="M229" i="2"/>
  <c r="O226" i="2"/>
  <c r="O227" i="2" s="1"/>
  <c r="O228" i="2" s="1"/>
  <c r="L230" i="2"/>
  <c r="Q280" i="2"/>
  <c r="Q283" i="2" s="1"/>
  <c r="L253" i="2" l="1"/>
  <c r="Q284" i="2"/>
  <c r="M252" i="2"/>
  <c r="M307" i="2" s="1"/>
  <c r="M309" i="2" s="1"/>
  <c r="M233" i="2"/>
  <c r="N229" i="2"/>
  <c r="S282" i="2"/>
  <c r="L234" i="2"/>
  <c r="J310" i="2"/>
  <c r="K310" i="2" s="1"/>
  <c r="M230" i="2"/>
  <c r="R280" i="2"/>
  <c r="R283" i="2" s="1"/>
  <c r="L309" i="2"/>
  <c r="P226" i="2"/>
  <c r="P227" i="2" s="1"/>
  <c r="M253" i="2" l="1"/>
  <c r="R284" i="2"/>
  <c r="N252" i="2"/>
  <c r="N233" i="2"/>
  <c r="L310" i="2"/>
  <c r="Q226" i="2"/>
  <c r="Q227" i="2" s="1"/>
  <c r="T282" i="2"/>
  <c r="O229" i="2"/>
  <c r="N230" i="2"/>
  <c r="S280" i="2"/>
  <c r="S283" i="2" s="1"/>
  <c r="M234" i="2"/>
  <c r="O233" i="2" l="1"/>
  <c r="O231" i="2"/>
  <c r="S284" i="2"/>
  <c r="N253" i="2"/>
  <c r="N307" i="2"/>
  <c r="N309" i="2" s="1"/>
  <c r="N234" i="2"/>
  <c r="R226" i="2"/>
  <c r="R227" i="2" s="1"/>
  <c r="O230" i="2"/>
  <c r="T280" i="2"/>
  <c r="T283" i="2" s="1"/>
  <c r="O252" i="2"/>
  <c r="U282" i="2"/>
  <c r="P229" i="2"/>
  <c r="M310" i="2"/>
  <c r="P252" i="2" l="1"/>
  <c r="P307" i="2" s="1"/>
  <c r="P309" i="2" s="1"/>
  <c r="P233" i="2"/>
  <c r="N310" i="2"/>
  <c r="P230" i="2"/>
  <c r="U280" i="2"/>
  <c r="U283" i="2" s="1"/>
  <c r="O234" i="2"/>
  <c r="S226" i="2"/>
  <c r="S227" i="2" s="1"/>
  <c r="O253" i="2"/>
  <c r="T284" i="2"/>
  <c r="O307" i="2"/>
  <c r="O309" i="2" s="1"/>
  <c r="E328" i="2"/>
  <c r="V282" i="2"/>
  <c r="Q229" i="2"/>
  <c r="Q233" i="2" s="1"/>
  <c r="E329" i="2" l="1"/>
  <c r="U284" i="2"/>
  <c r="P253" i="2"/>
  <c r="O310" i="2"/>
  <c r="P310" i="2" s="1"/>
  <c r="Q230" i="2"/>
  <c r="V280" i="2"/>
  <c r="V283" i="2" s="1"/>
  <c r="Q252" i="2"/>
  <c r="T226" i="2"/>
  <c r="T227" i="2" s="1"/>
  <c r="P234" i="2"/>
  <c r="W282" i="2"/>
  <c r="R229" i="2"/>
  <c r="R233" i="2" s="1"/>
  <c r="U226" i="2" l="1"/>
  <c r="U227" i="2" s="1"/>
  <c r="R230" i="2"/>
  <c r="W280" i="2"/>
  <c r="W283" i="2" s="1"/>
  <c r="X282" i="2"/>
  <c r="S229" i="2"/>
  <c r="S233" i="2" s="1"/>
  <c r="V284" i="2"/>
  <c r="Q307" i="2"/>
  <c r="Q309" i="2" s="1"/>
  <c r="Q310" i="2" s="1"/>
  <c r="Q253" i="2"/>
  <c r="Q234" i="2"/>
  <c r="R252" i="2"/>
  <c r="S230" i="2" l="1"/>
  <c r="X280" i="2"/>
  <c r="X283" i="2" s="1"/>
  <c r="R234" i="2"/>
  <c r="V226" i="2"/>
  <c r="V227" i="2" s="1"/>
  <c r="W284" i="2"/>
  <c r="R307" i="2"/>
  <c r="R309" i="2" s="1"/>
  <c r="R310" i="2" s="1"/>
  <c r="R253" i="2"/>
  <c r="S252" i="2"/>
  <c r="T229" i="2"/>
  <c r="T233" i="2" s="1"/>
  <c r="Y282" i="2"/>
  <c r="T230" i="2" l="1"/>
  <c r="Y280" i="2"/>
  <c r="Y283" i="2" s="1"/>
  <c r="S234" i="2"/>
  <c r="X284" i="2"/>
  <c r="S253" i="2"/>
  <c r="S307" i="2"/>
  <c r="S309" i="2" s="1"/>
  <c r="S310" i="2" s="1"/>
  <c r="T252" i="2"/>
  <c r="U229" i="2"/>
  <c r="U233" i="2" s="1"/>
  <c r="Z282" i="2"/>
  <c r="W226" i="2"/>
  <c r="W227" i="2" s="1"/>
  <c r="X226" i="2" l="1"/>
  <c r="X227" i="2" s="1"/>
  <c r="U230" i="2"/>
  <c r="Z280" i="2"/>
  <c r="Z283" i="2" s="1"/>
  <c r="V229" i="2"/>
  <c r="V233" i="2" s="1"/>
  <c r="AA282" i="2"/>
  <c r="Y284" i="2"/>
  <c r="T253" i="2"/>
  <c r="T307" i="2"/>
  <c r="T309" i="2" s="1"/>
  <c r="T310" i="2" s="1"/>
  <c r="U252" i="2"/>
  <c r="T234" i="2"/>
  <c r="U234" i="2" l="1"/>
  <c r="V230" i="2"/>
  <c r="AA280" i="2"/>
  <c r="AA283" i="2" s="1"/>
  <c r="Y226" i="2"/>
  <c r="Y227" i="2" s="1"/>
  <c r="U253" i="2"/>
  <c r="U307" i="2"/>
  <c r="U309" i="2" s="1"/>
  <c r="U310" i="2" s="1"/>
  <c r="Z284" i="2"/>
  <c r="F328" i="2"/>
  <c r="V252" i="2"/>
  <c r="W229" i="2"/>
  <c r="W233" i="2" s="1"/>
  <c r="AB282" i="2"/>
  <c r="F329" i="2" l="1"/>
  <c r="AC282" i="2"/>
  <c r="X229" i="2"/>
  <c r="W230" i="2"/>
  <c r="AB280" i="2"/>
  <c r="AB283" i="2" s="1"/>
  <c r="V253" i="2"/>
  <c r="AA284" i="2"/>
  <c r="V307" i="2"/>
  <c r="V309" i="2" s="1"/>
  <c r="V310" i="2" s="1"/>
  <c r="W252" i="2"/>
  <c r="Z226" i="2"/>
  <c r="Z227" i="2" s="1"/>
  <c r="V234" i="2"/>
  <c r="X252" i="2" l="1"/>
  <c r="X307" i="2" s="1"/>
  <c r="X309" i="2" s="1"/>
  <c r="X233" i="2"/>
  <c r="Y229" i="2"/>
  <c r="AD282" i="2"/>
  <c r="X230" i="2"/>
  <c r="AC280" i="2"/>
  <c r="AC283" i="2" s="1"/>
  <c r="W253" i="2"/>
  <c r="W307" i="2"/>
  <c r="W309" i="2" s="1"/>
  <c r="W310" i="2" s="1"/>
  <c r="AB284" i="2"/>
  <c r="W234" i="2"/>
  <c r="AA226" i="2"/>
  <c r="AA227" i="2" s="1"/>
  <c r="AA228" i="2" s="1"/>
  <c r="X253" i="2" l="1"/>
  <c r="AC284" i="2"/>
  <c r="Y252" i="2"/>
  <c r="Y233" i="2"/>
  <c r="X234" i="2"/>
  <c r="X310" i="2"/>
  <c r="AB226" i="2"/>
  <c r="AB227" i="2" s="1"/>
  <c r="AE282" i="2"/>
  <c r="Z229" i="2"/>
  <c r="Y230" i="2"/>
  <c r="AD280" i="2"/>
  <c r="AD283" i="2" s="1"/>
  <c r="Y253" i="2" l="1"/>
  <c r="AD284" i="2"/>
  <c r="Y307" i="2"/>
  <c r="Y309" i="2" s="1"/>
  <c r="Y310" i="2" s="1"/>
  <c r="Z252" i="2"/>
  <c r="Z307" i="2" s="1"/>
  <c r="Z309" i="2" s="1"/>
  <c r="Z233" i="2"/>
  <c r="Z230" i="2"/>
  <c r="AE280" i="2"/>
  <c r="AE283" i="2" s="1"/>
  <c r="Y234" i="2"/>
  <c r="AC226" i="2"/>
  <c r="AC227" i="2" s="1"/>
  <c r="AA229" i="2"/>
  <c r="AF282" i="2"/>
  <c r="AA233" i="2" l="1"/>
  <c r="AA231" i="2"/>
  <c r="Z253" i="2"/>
  <c r="AE284" i="2"/>
  <c r="AA230" i="2"/>
  <c r="AF280" i="2"/>
  <c r="AF283" i="2" s="1"/>
  <c r="AD226" i="2"/>
  <c r="AD227" i="2" s="1"/>
  <c r="Z234" i="2"/>
  <c r="AA252" i="2"/>
  <c r="AG282" i="2"/>
  <c r="AB229" i="2"/>
  <c r="Z310" i="2"/>
  <c r="AB252" i="2" l="1"/>
  <c r="AB307" i="2" s="1"/>
  <c r="AB309" i="2" s="1"/>
  <c r="AB233" i="2"/>
  <c r="AB230" i="2"/>
  <c r="AG280" i="2"/>
  <c r="AG283" i="2" s="1"/>
  <c r="AE226" i="2"/>
  <c r="AE227" i="2" s="1"/>
  <c r="AA234" i="2"/>
  <c r="AF284" i="2"/>
  <c r="AA307" i="2"/>
  <c r="AA309" i="2" s="1"/>
  <c r="AA310" i="2" s="1"/>
  <c r="AA253" i="2"/>
  <c r="G328" i="2"/>
  <c r="AC229" i="2"/>
  <c r="AC233" i="2" s="1"/>
  <c r="AH282" i="2"/>
  <c r="G329" i="2" l="1"/>
  <c r="AG284" i="2"/>
  <c r="AB253" i="2"/>
  <c r="AB310" i="2"/>
  <c r="AF226" i="2"/>
  <c r="AF227" i="2" s="1"/>
  <c r="AD229" i="2"/>
  <c r="AI282" i="2"/>
  <c r="AB234" i="2"/>
  <c r="AC230" i="2"/>
  <c r="AH280" i="2"/>
  <c r="AH283" i="2" s="1"/>
  <c r="AC252" i="2"/>
  <c r="AD252" i="2" l="1"/>
  <c r="AD307" i="2" s="1"/>
  <c r="AD309" i="2" s="1"/>
  <c r="AD233" i="2"/>
  <c r="AJ282" i="2"/>
  <c r="AE229" i="2"/>
  <c r="AC234" i="2"/>
  <c r="AG226" i="2"/>
  <c r="AG227" i="2" s="1"/>
  <c r="AC307" i="2"/>
  <c r="AC309" i="2" s="1"/>
  <c r="AC310" i="2" s="1"/>
  <c r="AC253" i="2"/>
  <c r="AH284" i="2"/>
  <c r="AD230" i="2"/>
  <c r="AI280" i="2"/>
  <c r="AI283" i="2" s="1"/>
  <c r="AD253" i="2" l="1"/>
  <c r="AI284" i="2"/>
  <c r="AE252" i="2"/>
  <c r="AE233" i="2"/>
  <c r="AD310" i="2"/>
  <c r="AD234" i="2"/>
  <c r="AH226" i="2"/>
  <c r="AH227" i="2" s="1"/>
  <c r="AF229" i="2"/>
  <c r="AK282" i="2"/>
  <c r="AE230" i="2"/>
  <c r="AJ280" i="2"/>
  <c r="AJ283" i="2" s="1"/>
  <c r="AE253" i="2" l="1"/>
  <c r="AE307" i="2"/>
  <c r="AE309" i="2" s="1"/>
  <c r="AE310" i="2" s="1"/>
  <c r="AJ284" i="2"/>
  <c r="AF252" i="2"/>
  <c r="AF307" i="2" s="1"/>
  <c r="AF309" i="2" s="1"/>
  <c r="AF233" i="2"/>
  <c r="AF230" i="2"/>
  <c r="AK280" i="2"/>
  <c r="AK283" i="2" s="1"/>
  <c r="AE234" i="2"/>
  <c r="AI226" i="2"/>
  <c r="AI227" i="2" s="1"/>
  <c r="AF253" i="2" l="1"/>
  <c r="AK284" i="2"/>
  <c r="AF310" i="2"/>
  <c r="AF234" i="2"/>
  <c r="AJ226" i="2"/>
  <c r="AJ227" i="2" s="1"/>
  <c r="AH229" i="2"/>
  <c r="AH252" i="2" l="1"/>
  <c r="AH233" i="2"/>
  <c r="AH230" i="2"/>
  <c r="AK226" i="2"/>
  <c r="AK227" i="2" s="1"/>
  <c r="AI229" i="2"/>
  <c r="AI233" i="2" s="1"/>
  <c r="AH307" i="2" l="1"/>
  <c r="AH309" i="2" s="1"/>
  <c r="AI230" i="2"/>
  <c r="AL226" i="2"/>
  <c r="AL227" i="2" s="1"/>
  <c r="AI252" i="2"/>
  <c r="AJ229" i="2"/>
  <c r="AJ233" i="2" s="1"/>
  <c r="AJ230" i="2" l="1"/>
  <c r="AM226" i="2"/>
  <c r="AM227" i="2" s="1"/>
  <c r="AM228" i="2" s="1"/>
  <c r="AI307" i="2"/>
  <c r="AI309" i="2" s="1"/>
  <c r="AJ252" i="2"/>
  <c r="AK229" i="2"/>
  <c r="AK233" i="2" s="1"/>
  <c r="AJ307" i="2" l="1"/>
  <c r="AJ309" i="2" s="1"/>
  <c r="AK230" i="2"/>
  <c r="AN226" i="2"/>
  <c r="AN227" i="2" s="1"/>
  <c r="AK252" i="2"/>
  <c r="AL229" i="2"/>
  <c r="AL233" i="2" s="1"/>
  <c r="AO226" i="2" l="1"/>
  <c r="AO227" i="2" s="1"/>
  <c r="AM229" i="2"/>
  <c r="AK307" i="2"/>
  <c r="AK309" i="2" s="1"/>
  <c r="AL230" i="2"/>
  <c r="AL252" i="2"/>
  <c r="AM233" i="2" l="1"/>
  <c r="AM230" i="2"/>
  <c r="AP226" i="2"/>
  <c r="AP227" i="2" s="1"/>
  <c r="AN229" i="2"/>
  <c r="AL307" i="2"/>
  <c r="AL309" i="2" s="1"/>
  <c r="AM252" i="2"/>
  <c r="I328" i="2" s="1"/>
  <c r="AN233" i="2" l="1"/>
  <c r="I329" i="2"/>
  <c r="AQ226" i="2"/>
  <c r="AQ227" i="2" s="1"/>
  <c r="AM307" i="2"/>
  <c r="AM309" i="2" s="1"/>
  <c r="AO229" i="2"/>
  <c r="AO233" i="2" s="1"/>
  <c r="AN230" i="2"/>
  <c r="AO230" i="2" l="1"/>
  <c r="AR226" i="2"/>
  <c r="AR227" i="2" s="1"/>
  <c r="AN247" i="2"/>
  <c r="AP229" i="2"/>
  <c r="AP233" i="2" s="1"/>
  <c r="AP230" i="2" l="1"/>
  <c r="AS226" i="2"/>
  <c r="AS227" i="2" s="1"/>
  <c r="AO247" i="2"/>
  <c r="AN248" i="2"/>
  <c r="AO250" i="2" s="1"/>
  <c r="AN321" i="2"/>
  <c r="AN322" i="2" s="1"/>
  <c r="AN252" i="2"/>
  <c r="AQ229" i="2"/>
  <c r="AQ233" i="2" s="1"/>
  <c r="AO321" i="2" l="1"/>
  <c r="AO322" i="2" s="1"/>
  <c r="AO248" i="2"/>
  <c r="AO252" i="2"/>
  <c r="AR229" i="2"/>
  <c r="AR233" i="2" s="1"/>
  <c r="AN307" i="2"/>
  <c r="AN309" i="2" s="1"/>
  <c r="AT226" i="2"/>
  <c r="AT227" i="2" s="1"/>
  <c r="AQ230" i="2"/>
  <c r="AO307" i="2" l="1"/>
  <c r="AO309" i="2" s="1"/>
  <c r="AS229" i="2"/>
  <c r="AS233" i="2" s="1"/>
  <c r="AP250" i="2"/>
  <c r="AP247" i="2"/>
  <c r="AU226" i="2"/>
  <c r="AU227" i="2" s="1"/>
  <c r="AR230" i="2"/>
  <c r="AV226" i="2" l="1"/>
  <c r="AV227" i="2" s="1"/>
  <c r="AT229" i="2"/>
  <c r="AT233" i="2" s="1"/>
  <c r="AS230" i="2"/>
  <c r="AP321" i="2"/>
  <c r="AP322" i="2" s="1"/>
  <c r="AP248" i="2"/>
  <c r="AP252" i="2"/>
  <c r="AT230" i="2" l="1"/>
  <c r="AP307" i="2"/>
  <c r="AP309" i="2" s="1"/>
  <c r="AQ250" i="2"/>
  <c r="AQ248" i="2"/>
  <c r="AW226" i="2"/>
  <c r="AW227" i="2" s="1"/>
  <c r="AU229" i="2"/>
  <c r="AU233" i="2" s="1"/>
  <c r="AU230" i="2" l="1"/>
  <c r="AX226" i="2"/>
  <c r="AX227" i="2" s="1"/>
  <c r="AR250" i="2"/>
  <c r="AR248" i="2"/>
  <c r="AQ321" i="2"/>
  <c r="AQ322" i="2" s="1"/>
  <c r="AQ252" i="2"/>
  <c r="AV229" i="2"/>
  <c r="AV233" i="2" s="1"/>
  <c r="AS250" i="2" l="1"/>
  <c r="AS248" i="2"/>
  <c r="AR321" i="2"/>
  <c r="AR322" i="2" s="1"/>
  <c r="AR252" i="2"/>
  <c r="AV230" i="2"/>
  <c r="AY226" i="2"/>
  <c r="AY227" i="2" s="1"/>
  <c r="AY228" i="2" s="1"/>
  <c r="AQ307" i="2"/>
  <c r="AQ309" i="2" s="1"/>
  <c r="AW229" i="2"/>
  <c r="AW233" i="2" s="1"/>
  <c r="AW230" i="2" l="1"/>
  <c r="AR307" i="2"/>
  <c r="AR309" i="2" s="1"/>
  <c r="AZ226" i="2"/>
  <c r="AZ227" i="2" s="1"/>
  <c r="AX229" i="2"/>
  <c r="AX233" i="2" s="1"/>
  <c r="AT250" i="2"/>
  <c r="AT247" i="2"/>
  <c r="AS321" i="2"/>
  <c r="AS322" i="2" s="1"/>
  <c r="AS252" i="2"/>
  <c r="AT321" i="2" l="1"/>
  <c r="AT322" i="2" s="1"/>
  <c r="AT248" i="2"/>
  <c r="C247" i="2"/>
  <c r="AT252" i="2"/>
  <c r="BA226" i="2"/>
  <c r="BA227" i="2" s="1"/>
  <c r="AY229" i="2"/>
  <c r="AS307" i="2"/>
  <c r="AS309" i="2" s="1"/>
  <c r="J328" i="2"/>
  <c r="AX230" i="2"/>
  <c r="AY233" i="2" l="1"/>
  <c r="AY231" i="2"/>
  <c r="J329" i="2"/>
  <c r="BB226" i="2"/>
  <c r="BB227" i="2" s="1"/>
  <c r="AU250" i="2"/>
  <c r="AU248" i="2"/>
  <c r="AZ229" i="2"/>
  <c r="AY230" i="2"/>
  <c r="AT307" i="2"/>
  <c r="AT309" i="2" s="1"/>
  <c r="AZ233" i="2" l="1"/>
  <c r="AU321" i="2"/>
  <c r="AU322" i="2" s="1"/>
  <c r="AU252" i="2"/>
  <c r="BC226" i="2"/>
  <c r="BC227" i="2" s="1"/>
  <c r="BA229" i="2"/>
  <c r="BA233" i="2" s="1"/>
  <c r="AZ230" i="2"/>
  <c r="AV250" i="2"/>
  <c r="AV248" i="2"/>
  <c r="AU307" i="2" l="1"/>
  <c r="AU309" i="2" s="1"/>
  <c r="AW250" i="2"/>
  <c r="AW248" i="2"/>
  <c r="BD226" i="2"/>
  <c r="BD227" i="2" s="1"/>
  <c r="AV321" i="2"/>
  <c r="AV322" i="2" s="1"/>
  <c r="AV252" i="2"/>
  <c r="BA230" i="2"/>
  <c r="BB229" i="2"/>
  <c r="BB233" i="2" s="1"/>
  <c r="BB230" i="2" l="1"/>
  <c r="AV307" i="2"/>
  <c r="AV309" i="2" s="1"/>
  <c r="AX250" i="2"/>
  <c r="AX248" i="2"/>
  <c r="BE226" i="2"/>
  <c r="BE227" i="2" s="1"/>
  <c r="AW321" i="2"/>
  <c r="AW322" i="2" s="1"/>
  <c r="AW252" i="2"/>
  <c r="BC229" i="2"/>
  <c r="BC233" i="2" s="1"/>
  <c r="BC230" i="2" l="1"/>
  <c r="BF226" i="2"/>
  <c r="BF227" i="2" s="1"/>
  <c r="BD229" i="2"/>
  <c r="BD233" i="2" s="1"/>
  <c r="AW307" i="2"/>
  <c r="AW309" i="2" s="1"/>
  <c r="AY250" i="2"/>
  <c r="AY248" i="2"/>
  <c r="AX252" i="2"/>
  <c r="AY252" i="2" l="1"/>
  <c r="K328" i="2" s="1"/>
  <c r="AZ250" i="2"/>
  <c r="AZ248" i="2"/>
  <c r="BD230" i="2"/>
  <c r="BG226" i="2"/>
  <c r="BG227" i="2" s="1"/>
  <c r="AX307" i="2"/>
  <c r="AX309" i="2" s="1"/>
  <c r="BE229" i="2"/>
  <c r="BE233" i="2" s="1"/>
  <c r="K329" i="2" l="1"/>
  <c r="BE230" i="2"/>
  <c r="BH226" i="2"/>
  <c r="BH227" i="2" s="1"/>
  <c r="BA250" i="2"/>
  <c r="BA248" i="2"/>
  <c r="AY307" i="2"/>
  <c r="AY309" i="2" s="1"/>
  <c r="BF229" i="2"/>
  <c r="BF233" i="2" s="1"/>
  <c r="AZ252" i="2"/>
  <c r="BA252" i="2" l="1"/>
  <c r="AZ307" i="2"/>
  <c r="AZ309" i="2" s="1"/>
  <c r="BI226" i="2"/>
  <c r="BI227" i="2" s="1"/>
  <c r="BG229" i="2"/>
  <c r="BG233" i="2" s="1"/>
  <c r="BF230" i="2"/>
  <c r="BB250" i="2"/>
  <c r="BB248" i="2"/>
  <c r="BG230" i="2" l="1"/>
  <c r="BA307" i="2"/>
  <c r="BA309" i="2" s="1"/>
  <c r="BC250" i="2"/>
  <c r="BC248" i="2"/>
  <c r="BJ226" i="2"/>
  <c r="BJ227" i="2" s="1"/>
  <c r="BB252" i="2"/>
  <c r="BH229" i="2"/>
  <c r="BH233" i="2" s="1"/>
  <c r="BH230" i="2" l="1"/>
  <c r="BK226" i="2"/>
  <c r="BK227" i="2" s="1"/>
  <c r="BK228" i="2" s="1"/>
  <c r="BI229" i="2"/>
  <c r="BI233" i="2" s="1"/>
  <c r="BD250" i="2"/>
  <c r="BD248" i="2"/>
  <c r="BB307" i="2"/>
  <c r="BB309" i="2" s="1"/>
  <c r="BC252" i="2"/>
  <c r="BC307" i="2" l="1"/>
  <c r="BC309" i="2" s="1"/>
  <c r="BD252" i="2"/>
  <c r="BE250" i="2"/>
  <c r="BE248" i="2"/>
  <c r="BL226" i="2"/>
  <c r="BL227" i="2" s="1"/>
  <c r="BI230" i="2"/>
  <c r="BJ229" i="2"/>
  <c r="BJ233" i="2" s="1"/>
  <c r="BE252" i="2" l="1"/>
  <c r="BK229" i="2"/>
  <c r="BD307" i="2"/>
  <c r="BD309" i="2" s="1"/>
  <c r="BM226" i="2"/>
  <c r="BM227" i="2" s="1"/>
  <c r="BJ230" i="2"/>
  <c r="BF250" i="2"/>
  <c r="BF248" i="2"/>
  <c r="BK233" i="2" l="1"/>
  <c r="BK231" i="2"/>
  <c r="BN226" i="2"/>
  <c r="BN227" i="2" s="1"/>
  <c r="BE307" i="2"/>
  <c r="BE309" i="2" s="1"/>
  <c r="BL229" i="2"/>
  <c r="BL233" i="2" s="1"/>
  <c r="BK230" i="2"/>
  <c r="BF252" i="2"/>
  <c r="BG250" i="2"/>
  <c r="BG248" i="2"/>
  <c r="L328" i="2"/>
  <c r="L329" i="2" l="1"/>
  <c r="BG252" i="2"/>
  <c r="BL230" i="2"/>
  <c r="BO226" i="2"/>
  <c r="BO227" i="2" s="1"/>
  <c r="BM229" i="2"/>
  <c r="BM233" i="2" s="1"/>
  <c r="BH250" i="2"/>
  <c r="BH248" i="2"/>
  <c r="BF307" i="2"/>
  <c r="BF309" i="2" s="1"/>
  <c r="BP226" i="2" l="1"/>
  <c r="BP227" i="2" s="1"/>
  <c r="BN229" i="2"/>
  <c r="BN233" i="2" s="1"/>
  <c r="BG307" i="2"/>
  <c r="BG309" i="2" s="1"/>
  <c r="BM230" i="2"/>
  <c r="BI250" i="2"/>
  <c r="BI248" i="2"/>
  <c r="BH252" i="2"/>
  <c r="BI252" i="2" l="1"/>
  <c r="BQ226" i="2"/>
  <c r="BQ227" i="2" s="1"/>
  <c r="BO229" i="2"/>
  <c r="BO233" i="2" s="1"/>
  <c r="BH307" i="2"/>
  <c r="BH309" i="2" s="1"/>
  <c r="BJ250" i="2"/>
  <c r="BJ252" i="2" s="1"/>
  <c r="BJ248" i="2"/>
  <c r="BN230" i="2"/>
  <c r="BP229" i="2" l="1"/>
  <c r="BP233" i="2" s="1"/>
  <c r="BK250" i="2"/>
  <c r="BK252" i="2" s="1"/>
  <c r="M328" i="2" s="1"/>
  <c r="BK248" i="2"/>
  <c r="BO230" i="2"/>
  <c r="BJ307" i="2"/>
  <c r="BJ309" i="2" s="1"/>
  <c r="BI307" i="2"/>
  <c r="BI309" i="2" s="1"/>
  <c r="M329" i="2" l="1"/>
  <c r="BP230" i="2"/>
  <c r="BQ229" i="2"/>
  <c r="BQ233" i="2" s="1"/>
  <c r="BL250" i="2"/>
  <c r="BL252" i="2" s="1"/>
  <c r="BL307" i="2" s="1"/>
  <c r="BL309" i="2" s="1"/>
  <c r="BL248" i="2"/>
  <c r="BK307" i="2"/>
  <c r="BM250" i="2" l="1"/>
  <c r="BM252" i="2" s="1"/>
  <c r="BM307" i="2" s="1"/>
  <c r="BM309" i="2" s="1"/>
  <c r="BM248" i="2"/>
  <c r="BK309" i="2"/>
  <c r="BQ230" i="2"/>
  <c r="BN250" i="2" l="1"/>
  <c r="BN252" i="2" s="1"/>
  <c r="BN307" i="2" s="1"/>
  <c r="BN309" i="2" s="1"/>
  <c r="BN248" i="2"/>
  <c r="BO250" i="2" l="1"/>
  <c r="BO252" i="2" s="1"/>
  <c r="BO248" i="2"/>
  <c r="BP250" i="2" l="1"/>
  <c r="BP252" i="2" s="1"/>
  <c r="BP248" i="2"/>
  <c r="BQ250" i="2" l="1"/>
  <c r="BQ252" i="2" s="1"/>
  <c r="BQ248" i="2"/>
  <c r="C250" i="2" l="1"/>
  <c r="C274" i="2" l="1"/>
  <c r="C227" i="2"/>
  <c r="C283" i="2" s="1"/>
  <c r="AL282" i="2"/>
  <c r="AM282" i="2" s="1"/>
  <c r="AN282" i="2" s="1"/>
  <c r="AG229" i="2"/>
  <c r="AG230" i="2" l="1"/>
  <c r="C230" i="2" s="1"/>
  <c r="AM231" i="2"/>
  <c r="AG252" i="2"/>
  <c r="C257" i="2" s="1"/>
  <c r="L92" i="3" s="1"/>
  <c r="AL280" i="2"/>
  <c r="AL283" i="2" s="1"/>
  <c r="AO282" i="2"/>
  <c r="AG233" i="2"/>
  <c r="C229" i="2"/>
  <c r="AL289" i="2" s="1"/>
  <c r="AM280" i="2" l="1"/>
  <c r="AN280" i="2" s="1"/>
  <c r="AO280" i="2" s="1"/>
  <c r="AP280" i="2" s="1"/>
  <c r="AQ280" i="2" s="1"/>
  <c r="AR280" i="2" s="1"/>
  <c r="AS280" i="2" s="1"/>
  <c r="AT280" i="2" s="1"/>
  <c r="AU280" i="2" s="1"/>
  <c r="AV280" i="2" s="1"/>
  <c r="AW280" i="2" s="1"/>
  <c r="AX280" i="2" s="1"/>
  <c r="AY280" i="2" s="1"/>
  <c r="AZ280" i="2" s="1"/>
  <c r="BA280" i="2" s="1"/>
  <c r="BB280" i="2" s="1"/>
  <c r="BC280" i="2" s="1"/>
  <c r="BD280" i="2" s="1"/>
  <c r="BE280" i="2" s="1"/>
  <c r="BF280" i="2" s="1"/>
  <c r="BG280" i="2" s="1"/>
  <c r="BH280" i="2" s="1"/>
  <c r="BI280" i="2" s="1"/>
  <c r="BJ280" i="2" s="1"/>
  <c r="BK280" i="2" s="1"/>
  <c r="BL280" i="2" s="1"/>
  <c r="BM280" i="2" s="1"/>
  <c r="BN280" i="2" s="1"/>
  <c r="H328" i="2"/>
  <c r="C252" i="2"/>
  <c r="C262" i="2" s="1"/>
  <c r="L91" i="3" s="1"/>
  <c r="AG253" i="2"/>
  <c r="AH253" i="2" s="1"/>
  <c r="AI253" i="2" s="1"/>
  <c r="AJ253" i="2" s="1"/>
  <c r="AK253" i="2" s="1"/>
  <c r="AL253" i="2" s="1"/>
  <c r="AM253" i="2" s="1"/>
  <c r="AN253" i="2" s="1"/>
  <c r="AO253" i="2" s="1"/>
  <c r="AP253" i="2" s="1"/>
  <c r="AQ253" i="2" s="1"/>
  <c r="AR253" i="2" s="1"/>
  <c r="AS253" i="2" s="1"/>
  <c r="AT253" i="2" s="1"/>
  <c r="AU253" i="2" s="1"/>
  <c r="AV253" i="2" s="1"/>
  <c r="AW253" i="2" s="1"/>
  <c r="AX253" i="2" s="1"/>
  <c r="AY253" i="2" s="1"/>
  <c r="AZ253" i="2" s="1"/>
  <c r="BA253" i="2" s="1"/>
  <c r="BB253" i="2" s="1"/>
  <c r="BC253" i="2" s="1"/>
  <c r="BD253" i="2" s="1"/>
  <c r="BE253" i="2" s="1"/>
  <c r="BF253" i="2" s="1"/>
  <c r="BG253" i="2" s="1"/>
  <c r="BH253" i="2" s="1"/>
  <c r="BI253" i="2" s="1"/>
  <c r="BJ253" i="2" s="1"/>
  <c r="BK253" i="2" s="1"/>
  <c r="BL253" i="2" s="1"/>
  <c r="BM253" i="2" s="1"/>
  <c r="BN253" i="2" s="1"/>
  <c r="BO253" i="2" s="1"/>
  <c r="BP253" i="2" s="1"/>
  <c r="BQ253" i="2" s="1"/>
  <c r="AG307" i="2"/>
  <c r="C307" i="2" s="1"/>
  <c r="AL284" i="2"/>
  <c r="AM284" i="2" s="1"/>
  <c r="AN284" i="2" s="1"/>
  <c r="AO284" i="2" s="1"/>
  <c r="AP284" i="2" s="1"/>
  <c r="AQ284" i="2" s="1"/>
  <c r="AR284" i="2" s="1"/>
  <c r="AS284" i="2" s="1"/>
  <c r="AT284" i="2" s="1"/>
  <c r="AU284" i="2" s="1"/>
  <c r="AV284" i="2" s="1"/>
  <c r="AW284" i="2" s="1"/>
  <c r="AX284" i="2" s="1"/>
  <c r="AY284" i="2" s="1"/>
  <c r="AZ284" i="2" s="1"/>
  <c r="BA284" i="2" s="1"/>
  <c r="BB284" i="2" s="1"/>
  <c r="BC284" i="2" s="1"/>
  <c r="BD284" i="2" s="1"/>
  <c r="BE284" i="2" s="1"/>
  <c r="BF284" i="2" s="1"/>
  <c r="BG284" i="2" s="1"/>
  <c r="BH284" i="2" s="1"/>
  <c r="BI284" i="2" s="1"/>
  <c r="BJ284" i="2" s="1"/>
  <c r="BK284" i="2" s="1"/>
  <c r="BL284" i="2" s="1"/>
  <c r="BM284" i="2" s="1"/>
  <c r="BN284" i="2" s="1"/>
  <c r="AP282" i="2"/>
  <c r="BL289" i="2"/>
  <c r="R289" i="2"/>
  <c r="BD289" i="2"/>
  <c r="AX289" i="2"/>
  <c r="AJ289" i="2"/>
  <c r="AI289" i="2"/>
  <c r="AV289" i="2"/>
  <c r="BI289" i="2"/>
  <c r="AR289" i="2"/>
  <c r="AK289" i="2"/>
  <c r="BB289" i="2"/>
  <c r="V289" i="2"/>
  <c r="BJ289" i="2"/>
  <c r="Q289" i="2"/>
  <c r="O289" i="2"/>
  <c r="AG289" i="2"/>
  <c r="BA289" i="2"/>
  <c r="AA289" i="2"/>
  <c r="W289" i="2"/>
  <c r="AS289" i="2"/>
  <c r="AF289" i="2"/>
  <c r="AZ289" i="2"/>
  <c r="T289" i="2"/>
  <c r="BE289" i="2"/>
  <c r="AQ289" i="2"/>
  <c r="AW289" i="2"/>
  <c r="BC289" i="2"/>
  <c r="AY289" i="2"/>
  <c r="BM289" i="2"/>
  <c r="AO289" i="2"/>
  <c r="S289" i="2"/>
  <c r="L289" i="2"/>
  <c r="BH289" i="2"/>
  <c r="AM289" i="2"/>
  <c r="N289" i="2"/>
  <c r="U289" i="2"/>
  <c r="X289" i="2"/>
  <c r="M289" i="2"/>
  <c r="BK289" i="2"/>
  <c r="AN289" i="2"/>
  <c r="AC289" i="2"/>
  <c r="AU289" i="2"/>
  <c r="AD289" i="2"/>
  <c r="C273" i="2"/>
  <c r="C275" i="2" s="1"/>
  <c r="C285" i="2" s="1"/>
  <c r="J289" i="2"/>
  <c r="Z289" i="2"/>
  <c r="BG289" i="2"/>
  <c r="AH289" i="2"/>
  <c r="AE289" i="2"/>
  <c r="P289" i="2"/>
  <c r="BF289" i="2"/>
  <c r="AP289" i="2"/>
  <c r="Y289" i="2"/>
  <c r="AB289" i="2"/>
  <c r="K289" i="2"/>
  <c r="BN289" i="2"/>
  <c r="AT289" i="2"/>
  <c r="C233" i="2"/>
  <c r="AG234" i="2"/>
  <c r="AH234" i="2" s="1"/>
  <c r="AI234" i="2" s="1"/>
  <c r="AJ234" i="2" s="1"/>
  <c r="AK234" i="2" s="1"/>
  <c r="AL234" i="2" s="1"/>
  <c r="AM234" i="2" s="1"/>
  <c r="AN234" i="2" s="1"/>
  <c r="AO234" i="2" s="1"/>
  <c r="AP234" i="2" s="1"/>
  <c r="AQ234" i="2" s="1"/>
  <c r="AR234" i="2" s="1"/>
  <c r="AS234" i="2" s="1"/>
  <c r="AT234" i="2" s="1"/>
  <c r="AU234" i="2" s="1"/>
  <c r="AV234" i="2" s="1"/>
  <c r="AW234" i="2" s="1"/>
  <c r="AX234" i="2" s="1"/>
  <c r="AY234" i="2" s="1"/>
  <c r="AZ234" i="2" s="1"/>
  <c r="BA234" i="2" s="1"/>
  <c r="BB234" i="2" s="1"/>
  <c r="BC234" i="2" s="1"/>
  <c r="BD234" i="2" s="1"/>
  <c r="BE234" i="2" s="1"/>
  <c r="BF234" i="2" s="1"/>
  <c r="BG234" i="2" s="1"/>
  <c r="BH234" i="2" s="1"/>
  <c r="BI234" i="2" s="1"/>
  <c r="BJ234" i="2" s="1"/>
  <c r="BK234" i="2" s="1"/>
  <c r="BL234" i="2" s="1"/>
  <c r="BM234" i="2" s="1"/>
  <c r="BN234" i="2" s="1"/>
  <c r="BO234" i="2" s="1"/>
  <c r="BP234" i="2" s="1"/>
  <c r="BQ234" i="2" s="1"/>
  <c r="C253" i="2" l="1"/>
  <c r="N328" i="2"/>
  <c r="O328" i="2" s="1"/>
  <c r="H329" i="2"/>
  <c r="N329" i="2" s="1"/>
  <c r="O329" i="2" s="1"/>
  <c r="AN283" i="2"/>
  <c r="AM283" i="2"/>
  <c r="AO283" i="2"/>
  <c r="AG309" i="2"/>
  <c r="C263" i="2"/>
  <c r="BO289" i="2"/>
  <c r="AP283" i="2"/>
  <c r="AQ282" i="2"/>
  <c r="C287" i="2"/>
  <c r="C286" i="2"/>
  <c r="C258" i="2"/>
  <c r="L93" i="3" s="1"/>
  <c r="AG310" i="2" l="1"/>
  <c r="AH310" i="2" s="1"/>
  <c r="AI310" i="2" s="1"/>
  <c r="AJ310" i="2" s="1"/>
  <c r="AK310" i="2" s="1"/>
  <c r="AL310" i="2" s="1"/>
  <c r="AM310" i="2" s="1"/>
  <c r="AN310" i="2" s="1"/>
  <c r="AO310" i="2" s="1"/>
  <c r="AP310" i="2" s="1"/>
  <c r="AQ310" i="2" s="1"/>
  <c r="AR310" i="2" s="1"/>
  <c r="AS310" i="2" s="1"/>
  <c r="AT310" i="2" s="1"/>
  <c r="AU310" i="2" s="1"/>
  <c r="AV310" i="2" s="1"/>
  <c r="AW310" i="2" s="1"/>
  <c r="AX310" i="2" s="1"/>
  <c r="AY310" i="2" s="1"/>
  <c r="AZ310" i="2" s="1"/>
  <c r="BA310" i="2" s="1"/>
  <c r="BB310" i="2" s="1"/>
  <c r="BC310" i="2" s="1"/>
  <c r="BD310" i="2" s="1"/>
  <c r="BE310" i="2" s="1"/>
  <c r="BF310" i="2" s="1"/>
  <c r="BG310" i="2" s="1"/>
  <c r="BH310" i="2" s="1"/>
  <c r="BI310" i="2" s="1"/>
  <c r="BJ310" i="2" s="1"/>
  <c r="BK310" i="2" s="1"/>
  <c r="BL310" i="2" s="1"/>
  <c r="BM310" i="2" s="1"/>
  <c r="BN310" i="2" s="1"/>
  <c r="C312" i="2"/>
  <c r="C309" i="2"/>
  <c r="C313" i="2" s="1"/>
  <c r="C264" i="2"/>
  <c r="C259" i="2"/>
  <c r="AQ283" i="2"/>
  <c r="AR282" i="2"/>
  <c r="C314" i="2" l="1"/>
  <c r="C315" i="2" s="1"/>
  <c r="AS282" i="2"/>
  <c r="AR283" i="2"/>
  <c r="AS283" i="2" l="1"/>
  <c r="AT282" i="2"/>
  <c r="AT283" i="2" l="1"/>
  <c r="AU282" i="2"/>
  <c r="AU283" i="2" l="1"/>
  <c r="AV282" i="2"/>
  <c r="AW282" i="2" l="1"/>
  <c r="AV283" i="2"/>
  <c r="AW283" i="2" l="1"/>
  <c r="AX282" i="2"/>
  <c r="AX283" i="2" l="1"/>
  <c r="AY282" i="2"/>
  <c r="AY283" i="2" l="1"/>
  <c r="AZ282" i="2"/>
  <c r="BA282" i="2" l="1"/>
  <c r="AZ283" i="2"/>
  <c r="BB282" i="2" l="1"/>
  <c r="BA283" i="2"/>
  <c r="BB283" i="2" l="1"/>
  <c r="BC282" i="2"/>
  <c r="BC283" i="2" l="1"/>
  <c r="BD282" i="2"/>
  <c r="BD283" i="2" l="1"/>
  <c r="BE282" i="2"/>
  <c r="BF282" i="2" l="1"/>
  <c r="BE283" i="2"/>
  <c r="BF283" i="2" l="1"/>
  <c r="BG282" i="2"/>
  <c r="BG283" i="2" l="1"/>
  <c r="BH282" i="2"/>
  <c r="BI282" i="2" l="1"/>
  <c r="BH283" i="2"/>
  <c r="BJ282" i="2" l="1"/>
  <c r="BI283" i="2"/>
  <c r="BK282" i="2" l="1"/>
  <c r="BJ283" i="2"/>
  <c r="BL282" i="2" l="1"/>
  <c r="BK283" i="2"/>
  <c r="BL283" i="2" l="1"/>
  <c r="BM282" i="2"/>
  <c r="BN282" i="2" l="1"/>
  <c r="BN283" i="2" s="1"/>
  <c r="BM283" i="2"/>
  <c r="S72" i="3"/>
  <c r="S75" i="3" l="1"/>
  <c r="S76" i="3"/>
  <c r="S74" i="3"/>
  <c r="S77" i="3" l="1"/>
  <c r="S80" i="3" s="1"/>
  <c r="S81" i="3" l="1"/>
  <c r="S79" i="3"/>
  <c r="S85" i="3" s="1"/>
  <c r="S82" i="3" l="1"/>
  <c r="S83" i="3" s="1"/>
  <c r="S87" i="3" s="1"/>
  <c r="S89" i="3" l="1"/>
  <c r="S90" i="3" s="1"/>
  <c r="S91" i="3"/>
  <c r="T87" i="3"/>
  <c r="D38" i="5" l="1"/>
  <c r="D69" i="5" l="1"/>
  <c r="E38" i="5" s="1"/>
  <c r="F38" i="5" s="1"/>
  <c r="D36" i="5"/>
  <c r="D47" i="5" s="1"/>
  <c r="E47" i="5" s="1"/>
  <c r="F47" i="5" s="1"/>
  <c r="G47" i="5" l="1"/>
  <c r="D22" i="5"/>
  <c r="D48" i="5" s="1"/>
  <c r="H47" i="5" l="1"/>
  <c r="D24" i="5"/>
  <c r="E22" i="5"/>
  <c r="E48" i="5" s="1"/>
  <c r="D28" i="5" l="1"/>
  <c r="D30" i="5"/>
  <c r="F22" i="5"/>
  <c r="F48" i="5" s="1"/>
  <c r="E24" i="5"/>
  <c r="D32" i="5" l="1"/>
  <c r="D52" i="5"/>
  <c r="E28" i="5"/>
  <c r="E30" i="5"/>
  <c r="E32" i="5" s="1"/>
  <c r="E67" i="5" s="1"/>
  <c r="F24" i="5"/>
  <c r="G22" i="5"/>
  <c r="G48" i="5" l="1"/>
  <c r="E52" i="5"/>
  <c r="D55" i="5"/>
  <c r="D71" i="5" s="1"/>
  <c r="E73" i="5" s="1"/>
  <c r="D67" i="5"/>
  <c r="D73" i="5" s="1"/>
  <c r="F28" i="5"/>
  <c r="F30" i="5"/>
  <c r="F32" i="5" s="1"/>
  <c r="F67" i="5" s="1"/>
  <c r="H22" i="5"/>
  <c r="H24" i="5" s="1"/>
  <c r="I47" i="5"/>
  <c r="G24" i="5"/>
  <c r="E55" i="5" l="1"/>
  <c r="E71" i="5" s="1"/>
  <c r="F73" i="5" s="1"/>
  <c r="F52" i="5"/>
  <c r="H48" i="5"/>
  <c r="I48" i="5" s="1"/>
  <c r="G28" i="5"/>
  <c r="G30" i="5"/>
  <c r="H28" i="5"/>
  <c r="H30" i="5"/>
  <c r="G50" i="5" l="1"/>
  <c r="F55" i="5"/>
  <c r="F71" i="5" s="1"/>
  <c r="G32" i="5"/>
  <c r="L50" i="5" s="1"/>
  <c r="G38" i="5"/>
  <c r="H38" i="5" s="1"/>
  <c r="H32" i="5"/>
  <c r="H67" i="5" s="1"/>
  <c r="G55" i="5" l="1"/>
  <c r="H50" i="5"/>
  <c r="H55" i="5" s="1"/>
  <c r="G67" i="5"/>
  <c r="G73" i="5" s="1"/>
  <c r="G71" i="5" l="1"/>
  <c r="H71" i="5" s="1"/>
  <c r="H73" i="5"/>
  <c r="H76" i="5" l="1"/>
  <c r="J129" i="3"/>
  <c r="G129" i="3" s="1"/>
  <c r="K129" i="3"/>
  <c r="I129" i="3" s="1"/>
  <c r="H129" i="3" l="1"/>
  <c r="J130" i="3"/>
  <c r="K130" i="3"/>
</calcChain>
</file>

<file path=xl/sharedStrings.xml><?xml version="1.0" encoding="utf-8"?>
<sst xmlns="http://schemas.openxmlformats.org/spreadsheetml/2006/main" count="572" uniqueCount="381">
  <si>
    <t>m2</t>
  </si>
  <si>
    <t>Cuotas</t>
  </si>
  <si>
    <t>Total</t>
  </si>
  <si>
    <t>USD</t>
  </si>
  <si>
    <t>ID</t>
  </si>
  <si>
    <t>Contingencias</t>
  </si>
  <si>
    <t>Subtotal 1</t>
  </si>
  <si>
    <t>Subtotal 2</t>
  </si>
  <si>
    <t>Saldo</t>
  </si>
  <si>
    <t>Débito</t>
  </si>
  <si>
    <t>Acumulado</t>
  </si>
  <si>
    <t>Pagos</t>
  </si>
  <si>
    <t>Impuesto a las Transferencias Bancarias</t>
  </si>
  <si>
    <t>IVA</t>
  </si>
  <si>
    <t>USD/m2</t>
  </si>
  <si>
    <t>TOTAL</t>
  </si>
  <si>
    <t>TOTALES</t>
  </si>
  <si>
    <t>Cantidad</t>
  </si>
  <si>
    <t>Fee Desarrollista</t>
  </si>
  <si>
    <t>IVA Construcción Viviendas</t>
  </si>
  <si>
    <t>OTROS COSTOS</t>
  </si>
  <si>
    <t>Mix</t>
  </si>
  <si>
    <t>IIBB</t>
  </si>
  <si>
    <t>Unidades</t>
  </si>
  <si>
    <t>UTILIZACION DE LA TIERRA</t>
  </si>
  <si>
    <t>Dptos</t>
  </si>
  <si>
    <t>Sup. (m2)</t>
  </si>
  <si>
    <t>Promedio</t>
  </si>
  <si>
    <t>2 Ambientes</t>
  </si>
  <si>
    <t>3 Ambientes</t>
  </si>
  <si>
    <t>4 Ambientes</t>
  </si>
  <si>
    <t>Posesión</t>
  </si>
  <si>
    <t>MES</t>
  </si>
  <si>
    <t>IVA Servicios</t>
  </si>
  <si>
    <t>IVA Ventas Resid. (*)</t>
  </si>
  <si>
    <t>(*) Descontada la incidencia de la tierra sobre el costo de desarrrollo</t>
  </si>
  <si>
    <t>Cocheras</t>
  </si>
  <si>
    <t>COSTO DE CONSTRUCCION (Sin IVA)</t>
  </si>
  <si>
    <t>Construcción</t>
  </si>
  <si>
    <t>Subtotal</t>
  </si>
  <si>
    <t>Total Construcción</t>
  </si>
  <si>
    <t>USD/m2 S/IVA</t>
  </si>
  <si>
    <t>USD/m2 IVA Incl.</t>
  </si>
  <si>
    <t>Ventas</t>
  </si>
  <si>
    <t>Avances de Obra</t>
  </si>
  <si>
    <t>EGRESOS S/IVA</t>
  </si>
  <si>
    <t>INGRESOS S/IVA</t>
  </si>
  <si>
    <t>TOTAL INGRESOS</t>
  </si>
  <si>
    <t>TIR Anual</t>
  </si>
  <si>
    <t>Departamentos</t>
  </si>
  <si>
    <t>Administración</t>
  </si>
  <si>
    <t>Coch/Ud</t>
  </si>
  <si>
    <t>Tipología</t>
  </si>
  <si>
    <t>Incidencia</t>
  </si>
  <si>
    <t>DATOS / IMPUESTOS</t>
  </si>
  <si>
    <t>Asesores</t>
  </si>
  <si>
    <t>Varios</t>
  </si>
  <si>
    <t>S/Cto Constr. S/IVA</t>
  </si>
  <si>
    <t>S/Ventas C/IVA</t>
  </si>
  <si>
    <t>Imp. Sellos</t>
  </si>
  <si>
    <t>Venta Edificios</t>
  </si>
  <si>
    <t>Unidades Vendidas</t>
  </si>
  <si>
    <t>% Acumulado</t>
  </si>
  <si>
    <t>Evolución de Precios (IVA Incl.)</t>
  </si>
  <si>
    <t>EGRESOS (S/IVA)</t>
  </si>
  <si>
    <t>Subtotal Cocheras</t>
  </si>
  <si>
    <t>Total Ventas Devengadas</t>
  </si>
  <si>
    <t>Cobranzas</t>
  </si>
  <si>
    <t>Total Cobranzas Dptos</t>
  </si>
  <si>
    <t>Cobranzas Cocheras</t>
  </si>
  <si>
    <t>TOTAL INGRESOS S/IVA</t>
  </si>
  <si>
    <t>Crédito Construcción</t>
  </si>
  <si>
    <t>TOTAL ANTES IIGG</t>
  </si>
  <si>
    <t>PRINCIPALES INDICADORES ECONOMICO - FINANCIEROS</t>
  </si>
  <si>
    <t>Máxima Exp. Acum. C/Terreno</t>
  </si>
  <si>
    <t>Mes de la Máxima Exposición Acumulada</t>
  </si>
  <si>
    <t>Margen / Ingresos</t>
  </si>
  <si>
    <t>Período de Repago (Mes)</t>
  </si>
  <si>
    <t>RESUMEN ECONOMICO</t>
  </si>
  <si>
    <t>TOTAL EGRESOS</t>
  </si>
  <si>
    <t>Venta Departamentos</t>
  </si>
  <si>
    <t>SALDO DE IVA</t>
  </si>
  <si>
    <t>MARGEN NETO</t>
  </si>
  <si>
    <t>BUSINESS CASE BASE</t>
  </si>
  <si>
    <t xml:space="preserve">     Cocheras (USD)</t>
  </si>
  <si>
    <t>Dptos / Mes</t>
  </si>
  <si>
    <t xml:space="preserve">Venta Cocheras </t>
  </si>
  <si>
    <t>Margen S/Ingresos</t>
  </si>
  <si>
    <t>Otros Ingresos (Margen de Terminaciones Especiales)</t>
  </si>
  <si>
    <t>Total Cobranzas Cocheras</t>
  </si>
  <si>
    <t>GENERAL - NETO DEL TERRENO</t>
  </si>
  <si>
    <t xml:space="preserve"> </t>
  </si>
  <si>
    <t>Margen / Inversión Total</t>
  </si>
  <si>
    <t>Terreno</t>
  </si>
  <si>
    <t>Terreno (en USD)</t>
  </si>
  <si>
    <t>Financiamiento</t>
  </si>
  <si>
    <t>Pago Intereses</t>
  </si>
  <si>
    <t>Crédito</t>
  </si>
  <si>
    <t>Margen</t>
  </si>
  <si>
    <t>Otros Ingresos Netos</t>
  </si>
  <si>
    <t>Crédito Servicios</t>
  </si>
  <si>
    <t>Cuota</t>
  </si>
  <si>
    <t>QUALITY INVEST - San Martín</t>
  </si>
  <si>
    <t>Máxima Exp. Acum. S/Terreno</t>
  </si>
  <si>
    <t>Pisos</t>
  </si>
  <si>
    <t>CREDITO INTERMEDIO</t>
  </si>
  <si>
    <t>50% a cargo del Comprador</t>
  </si>
  <si>
    <t>Pcia. Bs. As.</t>
  </si>
  <si>
    <t>Honorarios Proyecto y DDO</t>
  </si>
  <si>
    <t>Honorarios Gerenciamiento</t>
  </si>
  <si>
    <t>Tasas y Derechos Municipales</t>
  </si>
  <si>
    <t>Marketing y Publicidad</t>
  </si>
  <si>
    <t>Comisiones Inmobiliarias</t>
  </si>
  <si>
    <t>USD/Mes</t>
  </si>
  <si>
    <t>Estructura Legal / Escribanía</t>
  </si>
  <si>
    <t>S/Ventas Dev. C/IVA</t>
  </si>
  <si>
    <t>Ritmo Promedio de Ventas</t>
  </si>
  <si>
    <t>FORMAS DE PAGO</t>
  </si>
  <si>
    <t>Preventas</t>
  </si>
  <si>
    <t>Boleto</t>
  </si>
  <si>
    <t>Obra (Cto Directo) - Sin IVA</t>
  </si>
  <si>
    <t>Monto a Financiar</t>
  </si>
  <si>
    <t>TNA</t>
  </si>
  <si>
    <t>Gastos Evaluación y Otorgamiento</t>
  </si>
  <si>
    <t>Avance de Obra Requerido - 1er. Desembolso</t>
  </si>
  <si>
    <t>Capital a Devolver Durante la Obra</t>
  </si>
  <si>
    <t>DETALLE DE VENTAS</t>
  </si>
  <si>
    <t>Posesión (*)</t>
  </si>
  <si>
    <t>(*) Parte ahorro Ppio / Saldo Crédito hipotecario</t>
  </si>
  <si>
    <t>$ Dpto</t>
  </si>
  <si>
    <t>USD Dpto</t>
  </si>
  <si>
    <t>USD Coch.</t>
  </si>
  <si>
    <t>$ Tot.</t>
  </si>
  <si>
    <t>USD Tot.</t>
  </si>
  <si>
    <t>Cuota Crédito Hipotecario (**)</t>
  </si>
  <si>
    <t>Valor Contado</t>
  </si>
  <si>
    <t>Gastos Esctructuración / Tranf. De Dominio</t>
  </si>
  <si>
    <t>Subtotal Terreno</t>
  </si>
  <si>
    <t>Meses Hasta la Entrega</t>
  </si>
  <si>
    <t xml:space="preserve">     Ventas</t>
  </si>
  <si>
    <t>Lanzamientos</t>
  </si>
  <si>
    <t>Comercialización</t>
  </si>
  <si>
    <t>Ingresos Demostrables</t>
  </si>
  <si>
    <t>BCase Q.I. (Sin Crédito / Sin Terreno)</t>
  </si>
  <si>
    <t>Desembolsos</t>
  </si>
  <si>
    <t>Desembolsos Acumulados</t>
  </si>
  <si>
    <t>Amortización Capital</t>
  </si>
  <si>
    <t xml:space="preserve">     Fase Construcción</t>
  </si>
  <si>
    <t xml:space="preserve">     Saldo</t>
  </si>
  <si>
    <t xml:space="preserve">     Acumulado</t>
  </si>
  <si>
    <t>(Resto Cash en Posesión)</t>
  </si>
  <si>
    <t>Egresos</t>
  </si>
  <si>
    <t>Ingresos</t>
  </si>
  <si>
    <t>Mgen C/Leverage</t>
  </si>
  <si>
    <t>Sin Terreno</t>
  </si>
  <si>
    <t>Abs. (m2)</t>
  </si>
  <si>
    <t>APORTE DEL TERRENO A CAMBIO DE M2 TERMINADOS</t>
  </si>
  <si>
    <t>Negocio Dueño de la Tierra</t>
  </si>
  <si>
    <t>Aporte Terreno</t>
  </si>
  <si>
    <t>Contraprestación</t>
  </si>
  <si>
    <t>Max. Exp. Acumulada</t>
  </si>
  <si>
    <t>Repago (Mes)</t>
  </si>
  <si>
    <t>Negocio Desarrollador</t>
  </si>
  <si>
    <t>Cash Flow C/Leverage S/Terreno</t>
  </si>
  <si>
    <t>Contraprestación Terreno</t>
  </si>
  <si>
    <t>Margen / Inversión</t>
  </si>
  <si>
    <t>Sup. Terreno</t>
  </si>
  <si>
    <t>Locales Comerciales PB</t>
  </si>
  <si>
    <t>Viviendas</t>
  </si>
  <si>
    <t>TERRENO</t>
  </si>
  <si>
    <t>Sup. Construcción S/0,00 m (*)</t>
  </si>
  <si>
    <t>Altura Promedio (Incl. Basamento Cocheras)</t>
  </si>
  <si>
    <t>Cubiertas (Ppal)</t>
  </si>
  <si>
    <t>(*) Sup. Ppia = Cub. 100% / Semicub. al 50% / Jardines y Terrazas al 25%</t>
  </si>
  <si>
    <t>Locales</t>
  </si>
  <si>
    <t>Equipamientos</t>
  </si>
  <si>
    <t>USD/m2 Constr.</t>
  </si>
  <si>
    <t>m2 Vbles</t>
  </si>
  <si>
    <t>USD/Ud.</t>
  </si>
  <si>
    <t>IVA Incl.</t>
  </si>
  <si>
    <t>Cant</t>
  </si>
  <si>
    <t>http://www.argenprop.com/Creditos/Simulador</t>
  </si>
  <si>
    <t xml:space="preserve">     Departamentos + Locales (USD/m2)</t>
  </si>
  <si>
    <t>Las cocheras faltantes van en otros edificios</t>
  </si>
  <si>
    <t>Cocheras en Basamento</t>
  </si>
  <si>
    <t>Infraestructura + Parquización Interna</t>
  </si>
  <si>
    <t>Max.</t>
  </si>
  <si>
    <t>Min.</t>
  </si>
  <si>
    <t>Cuotas + Refuerzos Semestrales</t>
  </si>
  <si>
    <t>Ed. 1</t>
  </si>
  <si>
    <t>Ed. 2</t>
  </si>
  <si>
    <t>Ed. 3</t>
  </si>
  <si>
    <t>Ed. 4</t>
  </si>
  <si>
    <t>VTAS</t>
  </si>
  <si>
    <t>B</t>
  </si>
  <si>
    <t>C</t>
  </si>
  <si>
    <t>P</t>
  </si>
  <si>
    <t>EJ. FORMA DE PAGO</t>
  </si>
  <si>
    <t>Gtos Estr. / Transf. Dominio</t>
  </si>
  <si>
    <t>Departamentos + Locales</t>
  </si>
  <si>
    <t>Subtotal Dptos + Locales</t>
  </si>
  <si>
    <t>Avance de Obra (Bsmto + Ed. 1 y 2)</t>
  </si>
  <si>
    <t>SEMESTRE</t>
  </si>
  <si>
    <t>(*) No incluye la superficie para cocheras</t>
  </si>
  <si>
    <t xml:space="preserve">USD/m2 </t>
  </si>
  <si>
    <t>Capacidad Constructiva = FOT</t>
  </si>
  <si>
    <t>UVA</t>
  </si>
  <si>
    <t>Cotización UVAs ($/UVA)</t>
  </si>
  <si>
    <t>Cotización UVAs (USD/UVA)</t>
  </si>
  <si>
    <t>Set'18</t>
  </si>
  <si>
    <t>Tipo de Cambio ($/USD)</t>
  </si>
  <si>
    <t>Mix Subcontratos</t>
  </si>
  <si>
    <t>DETALLE DE SUPERFICIES</t>
  </si>
  <si>
    <t>Subsuelo 1</t>
  </si>
  <si>
    <t>Subsuelo 2</t>
  </si>
  <si>
    <t>Basamento 1</t>
  </si>
  <si>
    <t>Subsuelo 3</t>
  </si>
  <si>
    <t>Subsuelo 4</t>
  </si>
  <si>
    <t>UNIDADES</t>
  </si>
  <si>
    <t>DPTOS</t>
  </si>
  <si>
    <t>LOCALES</t>
  </si>
  <si>
    <t>COCHERAS</t>
  </si>
  <si>
    <t>CONSTRUCCION</t>
  </si>
  <si>
    <t>VENDIBLE</t>
  </si>
  <si>
    <t>(*) Sup. Neta Residencial: Cubiertas al 100% + S.Cub al 50% y Jardines / Terrazas al 25%</t>
  </si>
  <si>
    <t>SUPERFICIES (*)</t>
  </si>
  <si>
    <t>MIX INDICATIVO DE UNIDADES</t>
  </si>
  <si>
    <t>Módulos</t>
  </si>
  <si>
    <t>Basamento 2</t>
  </si>
  <si>
    <t>Basamento 3</t>
  </si>
  <si>
    <t>Basamento 4</t>
  </si>
  <si>
    <t>Módulo 1</t>
  </si>
  <si>
    <t>Módulo 2</t>
  </si>
  <si>
    <t>Módulo 3</t>
  </si>
  <si>
    <t>Módulo 4</t>
  </si>
  <si>
    <t>1 Ambiente</t>
  </si>
  <si>
    <t>Cocheras en SS</t>
  </si>
  <si>
    <t>Ene'18</t>
  </si>
  <si>
    <t>Alt. 1</t>
  </si>
  <si>
    <t>Alt. 2</t>
  </si>
  <si>
    <t>Alt. 3</t>
  </si>
  <si>
    <t>% Sobre Tot. Vtas</t>
  </si>
  <si>
    <t>Mercado</t>
  </si>
  <si>
    <t>Precio S/Prom.</t>
  </si>
  <si>
    <t>UVA Dpto</t>
  </si>
  <si>
    <t>UVA Coch.</t>
  </si>
  <si>
    <t>UVA Tot.</t>
  </si>
  <si>
    <t>Primera Vivienda / Relación de Dependencia</t>
  </si>
  <si>
    <t>(**) Hasta 70% del Valor (LTV) / Plazo 30 Años / TNA</t>
  </si>
  <si>
    <t>EJ. PAGO UNIDAD 2 AMB. PROMEDIO - Alt. 3 (Crédito)</t>
  </si>
  <si>
    <t>Unidad 2 Amb. Promedio</t>
  </si>
  <si>
    <t>Formas de Pago</t>
  </si>
  <si>
    <t xml:space="preserve">     Módulo 1</t>
  </si>
  <si>
    <t xml:space="preserve">     Módulo 2</t>
  </si>
  <si>
    <t xml:space="preserve">     Módulo 3</t>
  </si>
  <si>
    <t xml:space="preserve">     Módulo 4</t>
  </si>
  <si>
    <t xml:space="preserve">    Subsuelo 1</t>
  </si>
  <si>
    <t xml:space="preserve">    Subsuelo 2</t>
  </si>
  <si>
    <t xml:space="preserve">    Subsuelo 3</t>
  </si>
  <si>
    <t xml:space="preserve">    Subsuelo 4</t>
  </si>
  <si>
    <t xml:space="preserve">    Basamento 1</t>
  </si>
  <si>
    <t xml:space="preserve">    Basamento 2</t>
  </si>
  <si>
    <t xml:space="preserve">    Basamento 3</t>
  </si>
  <si>
    <t xml:space="preserve">    Basamento 4</t>
  </si>
  <si>
    <t>Egresos (UVAs - S/IVA)</t>
  </si>
  <si>
    <t>Ingresos (UVAs S/IVA)</t>
  </si>
  <si>
    <t>Ventas Devengadas</t>
  </si>
  <si>
    <t>UVAs</t>
  </si>
  <si>
    <t>UVAs S/IVA</t>
  </si>
  <si>
    <t xml:space="preserve">     Preventas - Alt. 1</t>
  </si>
  <si>
    <t xml:space="preserve">     Preventas - Alt. 2</t>
  </si>
  <si>
    <t xml:space="preserve">     Preventas - Alt. 3</t>
  </si>
  <si>
    <t>Incidencia (USD/m2 Contr.)</t>
  </si>
  <si>
    <t>Demoliciones (*)</t>
  </si>
  <si>
    <t>(*) Incluye Remoción Galpones y Pisos Hormigón / Remediaciones / Etc.</t>
  </si>
  <si>
    <t>Basamentos Cocheras</t>
  </si>
  <si>
    <t>EP</t>
  </si>
  <si>
    <t>PB</t>
  </si>
  <si>
    <t>Constr.</t>
  </si>
  <si>
    <t>Vta</t>
  </si>
  <si>
    <t>Accesos / Núcleos / Viv.</t>
  </si>
  <si>
    <t>Viv. En Pta Tipo</t>
  </si>
  <si>
    <t>PT</t>
  </si>
  <si>
    <t>E1</t>
  </si>
  <si>
    <t>E2</t>
  </si>
  <si>
    <t>E3</t>
  </si>
  <si>
    <t>E4</t>
  </si>
  <si>
    <t>Planta</t>
  </si>
  <si>
    <t>Sup. Vendible (*)</t>
  </si>
  <si>
    <t>Superficie Cubierta / Cochera</t>
  </si>
  <si>
    <t xml:space="preserve">    Demoliciones</t>
  </si>
  <si>
    <t>Proyecto Residencial 1 (UVAS)</t>
  </si>
  <si>
    <t>Proyecto Residencial 1 (USD)</t>
  </si>
  <si>
    <t>EJ. PROYECTO AL COSTO</t>
  </si>
  <si>
    <t>Terreno + Otros</t>
  </si>
  <si>
    <t>Fee Desarrollador</t>
  </si>
  <si>
    <t>Gerenciamiento + Administración</t>
  </si>
  <si>
    <t>Total Egresos S/IVA</t>
  </si>
  <si>
    <t>Proy + DDO + Asesores + Tasas</t>
  </si>
  <si>
    <t>Superficie Neta Vendible (Incl. Cocheras)</t>
  </si>
  <si>
    <t>Costo / m2 Netos Vbles C/Coch. (IVA Incl)</t>
  </si>
  <si>
    <t>USD/m2 Vble</t>
  </si>
  <si>
    <t>Min Alt. 1</t>
  </si>
  <si>
    <t>Costo Cochera</t>
  </si>
  <si>
    <t>Valor Tierra</t>
  </si>
  <si>
    <t>Cto Construcción</t>
  </si>
  <si>
    <t>Precio Vta</t>
  </si>
  <si>
    <t>Max. Exp. Acum</t>
  </si>
  <si>
    <t>Valores en USD</t>
  </si>
  <si>
    <t>ANALISIS DE SENSIBILIDAD</t>
  </si>
  <si>
    <t>Costo por unidad promedio</t>
  </si>
  <si>
    <t>Año 1</t>
  </si>
  <si>
    <t>Año 2</t>
  </si>
  <si>
    <t>Año 3</t>
  </si>
  <si>
    <t>Año 4</t>
  </si>
  <si>
    <t>Año 5</t>
  </si>
  <si>
    <t>Año 6</t>
  </si>
  <si>
    <t>Año 7</t>
  </si>
  <si>
    <t>Año 8</t>
  </si>
  <si>
    <t>Año 9</t>
  </si>
  <si>
    <t>Año 10</t>
  </si>
  <si>
    <t>Impuestos Operativos</t>
  </si>
  <si>
    <t xml:space="preserve">Depreciación y Amortización </t>
  </si>
  <si>
    <t>EBIT</t>
  </si>
  <si>
    <t>Intereses</t>
  </si>
  <si>
    <t>EBT</t>
  </si>
  <si>
    <t>Total Costos Devengados</t>
  </si>
  <si>
    <t>Costo de la mercaderia vendida</t>
  </si>
  <si>
    <t>Hard Costs</t>
  </si>
  <si>
    <t>Soft Costs</t>
  </si>
  <si>
    <t>Hard Costs Devengados</t>
  </si>
  <si>
    <t>Soft Costs Devengados</t>
  </si>
  <si>
    <t>Adm y Ventas</t>
  </si>
  <si>
    <t>Imp. Operativos</t>
  </si>
  <si>
    <t>Admministración y Ventas</t>
  </si>
  <si>
    <t>Resultado Op. R.E. Residencial</t>
  </si>
  <si>
    <t>Net Income R.E. Residencial</t>
  </si>
  <si>
    <t>Gastos segmento residencial minorista</t>
  </si>
  <si>
    <t>Ingresos segmento residencial minorista</t>
  </si>
  <si>
    <t>Impuesto a las ganancias</t>
  </si>
  <si>
    <t>Caja</t>
  </si>
  <si>
    <t>Costos Capitalizados</t>
  </si>
  <si>
    <t>Otros</t>
  </si>
  <si>
    <t>Terminaciones Especiales</t>
  </si>
  <si>
    <t>Inventario intermedio</t>
  </si>
  <si>
    <t>Adelantos de clientes</t>
  </si>
  <si>
    <t>Pasivo</t>
  </si>
  <si>
    <t>Patrimonio neto</t>
  </si>
  <si>
    <t>Crédito Fiscal IG</t>
  </si>
  <si>
    <t>Aportes de los socios</t>
  </si>
  <si>
    <t>Aporte Inicial</t>
  </si>
  <si>
    <t>Credito fiscal IVA</t>
  </si>
  <si>
    <t>Resultados del periodo</t>
  </si>
  <si>
    <t>Activo</t>
  </si>
  <si>
    <t>Depreciacion y Am acumulada</t>
  </si>
  <si>
    <t>Pasivo y Patrmonio Neto</t>
  </si>
  <si>
    <t>Total del Pasivo</t>
  </si>
  <si>
    <t>Total del Activo</t>
  </si>
  <si>
    <t>Efectivo y Equivalentes</t>
  </si>
  <si>
    <t>EERR  Proyectado Real Estate Residencial Minorista</t>
  </si>
  <si>
    <t>Balance Proyectado Real Estate Residencial Minorista</t>
  </si>
  <si>
    <t>Total del Patrimonio Neto</t>
  </si>
  <si>
    <t>Costos de Construcción (Hard Costs 1)</t>
  </si>
  <si>
    <t>Otros Costos (UVAs - S/IVA) (Soft Costs y Gastos)</t>
  </si>
  <si>
    <t>Subtotal Otros Costos y Gastos</t>
  </si>
  <si>
    <t>Otros Costos de Construcción (Hard Costs 2)</t>
  </si>
  <si>
    <t>SMART.IN Residencial Minorista</t>
  </si>
  <si>
    <t>Plan de Trabajo y Flujo de Fondos Mensual</t>
  </si>
  <si>
    <r>
      <t>Construcción</t>
    </r>
    <r>
      <rPr>
        <i/>
        <sz val="10"/>
        <rFont val="Calibri"/>
        <family val="2"/>
      </rPr>
      <t>:</t>
    </r>
  </si>
  <si>
    <r>
      <t>·</t>
    </r>
    <r>
      <rPr>
        <i/>
        <sz val="10"/>
        <rFont val="Times New Roman"/>
        <family val="1"/>
      </rPr>
      <t xml:space="preserve">         </t>
    </r>
    <r>
      <rPr>
        <i/>
        <sz val="10"/>
        <rFont val="Calibri"/>
        <family val="2"/>
      </rPr>
      <t xml:space="preserve">Planta baja: 2.856m2. </t>
    </r>
  </si>
  <si>
    <r>
      <t>·</t>
    </r>
    <r>
      <rPr>
        <i/>
        <sz val="10"/>
        <rFont val="Times New Roman"/>
        <family val="1"/>
      </rPr>
      <t xml:space="preserve">         </t>
    </r>
    <r>
      <rPr>
        <i/>
        <sz val="10"/>
        <rFont val="Calibri"/>
        <family val="2"/>
      </rPr>
      <t xml:space="preserve">Entrepiso: 820m2. </t>
    </r>
  </si>
  <si>
    <r>
      <t>·</t>
    </r>
    <r>
      <rPr>
        <i/>
        <sz val="10"/>
        <rFont val="Times New Roman"/>
        <family val="1"/>
      </rPr>
      <t xml:space="preserve">         </t>
    </r>
    <r>
      <rPr>
        <i/>
        <sz val="10"/>
        <rFont val="Calibri"/>
        <family val="2"/>
      </rPr>
      <t xml:space="preserve">Planta tipo (1.991m2, cantidad promedio: 8): 15.648m2. </t>
    </r>
  </si>
  <si>
    <r>
      <t>Venta</t>
    </r>
    <r>
      <rPr>
        <i/>
        <sz val="10"/>
        <rFont val="Calibri"/>
        <family val="2"/>
      </rPr>
      <t>:</t>
    </r>
  </si>
  <si>
    <r>
      <t>·</t>
    </r>
    <r>
      <rPr>
        <i/>
        <sz val="10"/>
        <rFont val="Times New Roman"/>
        <family val="1"/>
      </rPr>
      <t xml:space="preserve">         </t>
    </r>
    <r>
      <rPr>
        <i/>
        <sz val="10"/>
        <rFont val="Calibri"/>
        <family val="2"/>
      </rPr>
      <t xml:space="preserve">Viviendas: 13.248m2 (228 deptos aprox.). </t>
    </r>
  </si>
  <si>
    <r>
      <t>·</t>
    </r>
    <r>
      <rPr>
        <i/>
        <sz val="10"/>
        <rFont val="Times New Roman"/>
        <family val="1"/>
      </rPr>
      <t xml:space="preserve">         </t>
    </r>
    <r>
      <rPr>
        <i/>
        <sz val="10"/>
        <rFont val="Calibri"/>
        <family val="2"/>
      </rPr>
      <t xml:space="preserve">Comercio: 900m2. </t>
    </r>
  </si>
  <si>
    <r>
      <t>·</t>
    </r>
    <r>
      <rPr>
        <i/>
        <sz val="10"/>
        <rFont val="Times New Roman"/>
        <family val="1"/>
      </rPr>
      <t xml:space="preserve">         </t>
    </r>
    <r>
      <rPr>
        <i/>
        <sz val="10"/>
        <rFont val="Calibri"/>
        <family val="2"/>
      </rPr>
      <t xml:space="preserve">Estacionamientos: 2.110m2 (116 autos aprox.). </t>
    </r>
  </si>
  <si>
    <t>Esquema Preliminar</t>
  </si>
  <si>
    <t>USD/MM</t>
  </si>
  <si>
    <t>S/ Esquema Preliminar</t>
  </si>
  <si>
    <t>SMART. IN Segmento Residencial Minorista</t>
  </si>
  <si>
    <t>SMART.IN - San Martín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</si>
</sst>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4" formatCode="_(&quot;$&quot;\ * #,##0.00_);_(&quot;$&quot;\ * \(#,##0.00\);_(&quot;$&quot;\ * &quot;-&quot;??_);_(@_)"/>
    <numFmt numFmtId="164" formatCode="_ * #,##0.00_ ;_ * \-#,##0.00_ ;_ * &quot;-&quot;??_ ;_ @_ "/>
    <numFmt numFmtId="165" formatCode="_-* #,##0.00\ _€_-;\-* #,##0.00\ _€_-;_-* &quot;-&quot;??\ _€_-;_-@_-"/>
    <numFmt numFmtId="166" formatCode="_ * #,##0_ ;_ * \-#,##0_ ;_ * &quot;-&quot;??_ ;_ @_ "/>
    <numFmt numFmtId="167" formatCode="_ [$€-2]\ * #,##0.00_ ;_ [$€-2]\ * \-#,##0.00_ ;_ [$€-2]\ * &quot;-&quot;??_ "/>
    <numFmt numFmtId="168" formatCode="0.0%"/>
    <numFmt numFmtId="169" formatCode="_-* #,##0.0\ _€_-;\-* #,##0.0\ _€_-;_-* &quot;-&quot;??\ _€_-;_-@_-"/>
    <numFmt numFmtId="170" formatCode="_-* #,##0\ _€_-;\-* #,##0\ _€_-;_-* &quot;-&quot;??\ _€_-;_-@_-"/>
    <numFmt numFmtId="171" formatCode="0.000%"/>
    <numFmt numFmtId="172" formatCode="0.0000%"/>
    <numFmt numFmtId="173" formatCode="#,##0_ ;\-#,##0\ "/>
    <numFmt numFmtId="174" formatCode="_ * #,##0.0_ ;_ * \-#,##0.0_ ;_ * &quot;-&quot;??_ ;_ @_ "/>
  </numFmts>
  <fonts count="64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i/>
      <sz val="10"/>
      <name val="Calibri"/>
      <family val="2"/>
    </font>
    <font>
      <b/>
      <sz val="10"/>
      <color rgb="FFFF0000"/>
      <name val="Calibri"/>
      <family val="2"/>
    </font>
    <font>
      <sz val="10"/>
      <color rgb="FFFF000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0066FF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10"/>
      <color theme="0" tint="-0.499984740745262"/>
      <name val="Calibri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theme="0" tint="-0.499984740745262"/>
      <name val="Calibri"/>
      <family val="2"/>
    </font>
    <font>
      <b/>
      <sz val="10"/>
      <color rgb="FFFF0000"/>
      <name val="Calibri"/>
      <family val="2"/>
      <scheme val="minor"/>
    </font>
    <font>
      <b/>
      <sz val="10"/>
      <color rgb="FF0066FF"/>
      <name val="Calibri"/>
      <family val="2"/>
      <scheme val="minor"/>
    </font>
    <font>
      <b/>
      <sz val="14"/>
      <name val="Calibri"/>
      <family val="2"/>
      <scheme val="minor"/>
    </font>
    <font>
      <i/>
      <sz val="10"/>
      <color theme="0" tint="-0.499984740745262"/>
      <name val="Calibri"/>
      <family val="2"/>
      <scheme val="minor"/>
    </font>
    <font>
      <i/>
      <sz val="10"/>
      <color rgb="FFFF0000"/>
      <name val="Calibri"/>
      <family val="2"/>
    </font>
    <font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sz val="10"/>
      <color theme="3" tint="0.39997558519241921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color theme="0" tint="-0.249977111117893"/>
      <name val="Calibri"/>
      <family val="2"/>
      <scheme val="minor"/>
    </font>
    <font>
      <sz val="10"/>
      <color theme="0" tint="-0.249977111117893"/>
      <name val="Calibri"/>
      <family val="2"/>
      <scheme val="minor"/>
    </font>
    <font>
      <i/>
      <sz val="10"/>
      <color theme="0" tint="-0.249977111117893"/>
      <name val="Calibri"/>
      <family val="2"/>
      <scheme val="minor"/>
    </font>
    <font>
      <b/>
      <i/>
      <sz val="10"/>
      <color rgb="FFFF0000"/>
      <name val="Calibri"/>
      <family val="2"/>
    </font>
    <font>
      <i/>
      <sz val="10"/>
      <color rgb="FFFF0000"/>
      <name val="Calibri"/>
      <family val="2"/>
      <scheme val="minor"/>
    </font>
    <font>
      <sz val="10"/>
      <color rgb="FF0000FF"/>
      <name val="Calibri"/>
      <family val="2"/>
    </font>
    <font>
      <sz val="10"/>
      <color rgb="FF0000FF"/>
      <name val="Calibri"/>
      <family val="2"/>
      <scheme val="minor"/>
    </font>
    <font>
      <i/>
      <sz val="10"/>
      <color theme="1"/>
      <name val="Calibri"/>
      <family val="2"/>
    </font>
    <font>
      <b/>
      <sz val="10"/>
      <color rgb="FF0000FF"/>
      <name val="Calibri"/>
      <family val="2"/>
    </font>
    <font>
      <b/>
      <sz val="10"/>
      <color rgb="FF0000FF"/>
      <name val="Calibri"/>
      <family val="2"/>
      <scheme val="minor"/>
    </font>
    <font>
      <b/>
      <i/>
      <sz val="10"/>
      <color theme="0" tint="-0.499984740745262"/>
      <name val="Calibri"/>
      <family val="2"/>
      <scheme val="minor"/>
    </font>
    <font>
      <sz val="10"/>
      <color indexed="23"/>
      <name val="Calibri"/>
      <family val="2"/>
      <scheme val="minor"/>
    </font>
    <font>
      <sz val="10"/>
      <color theme="1"/>
      <name val="Calibri"/>
      <family val="2"/>
    </font>
    <font>
      <b/>
      <i/>
      <sz val="10"/>
      <color theme="0" tint="-0.499984740745262"/>
      <name val="Calibri"/>
      <family val="2"/>
    </font>
    <font>
      <b/>
      <sz val="10"/>
      <color theme="1"/>
      <name val="Calibri"/>
      <family val="2"/>
    </font>
    <font>
      <u/>
      <sz val="10"/>
      <color theme="10"/>
      <name val="Arial"/>
      <family val="2"/>
    </font>
    <font>
      <b/>
      <i/>
      <sz val="10"/>
      <name val="Calibri"/>
      <family val="2"/>
    </font>
    <font>
      <i/>
      <u/>
      <sz val="10"/>
      <name val="Calibri"/>
      <family val="2"/>
      <scheme val="minor"/>
    </font>
    <font>
      <sz val="10"/>
      <color rgb="FF3333FF"/>
      <name val="Calibri"/>
      <family val="2"/>
      <scheme val="minor"/>
    </font>
    <font>
      <i/>
      <sz val="10"/>
      <color rgb="FF0000FF"/>
      <name val="Calibri"/>
      <family val="2"/>
    </font>
    <font>
      <b/>
      <i/>
      <sz val="10"/>
      <name val="Calibri"/>
      <family val="2"/>
      <scheme val="minor"/>
    </font>
    <font>
      <sz val="10"/>
      <color rgb="FF00B050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0"/>
      <name val="Arial"/>
      <family val="2"/>
    </font>
    <font>
      <sz val="10"/>
      <color theme="1" tint="0.499984740745262"/>
      <name val="Arial"/>
      <family val="2"/>
    </font>
    <font>
      <sz val="10"/>
      <color theme="0" tint="-0.499984740745262"/>
      <name val="Arial"/>
      <family val="2"/>
    </font>
    <font>
      <b/>
      <sz val="10"/>
      <color theme="0" tint="-0.499984740745262"/>
      <name val="Arial"/>
      <family val="2"/>
    </font>
    <font>
      <sz val="10"/>
      <color theme="9" tint="-0.499984740745262"/>
      <name val="Calibri"/>
      <family val="2"/>
      <scheme val="minor"/>
    </font>
    <font>
      <i/>
      <sz val="10"/>
      <color theme="9" tint="-0.499984740745262"/>
      <name val="Calibri"/>
      <family val="2"/>
      <scheme val="minor"/>
    </font>
    <font>
      <b/>
      <sz val="10"/>
      <color theme="9" tint="-0.499984740745262"/>
      <name val="Calibri"/>
      <family val="2"/>
      <scheme val="minor"/>
    </font>
    <font>
      <i/>
      <u/>
      <sz val="10"/>
      <name val="Calibri"/>
      <family val="2"/>
    </font>
    <font>
      <i/>
      <sz val="10"/>
      <name val="Symbol"/>
      <family val="1"/>
      <charset val="2"/>
    </font>
    <font>
      <i/>
      <sz val="10"/>
      <name val="Times New Roman"/>
      <family val="1"/>
    </font>
  </fonts>
  <fills count="2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2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2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 tint="0.39997558519241921"/>
        <bgColor indexed="64"/>
      </patternFill>
    </fill>
  </fills>
  <borders count="11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</borders>
  <cellStyleXfs count="12">
    <xf numFmtId="0" fontId="0" fillId="0" borderId="0"/>
    <xf numFmtId="167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44" fillId="0" borderId="0" applyNumberFormat="0" applyFill="0" applyBorder="0" applyAlignment="0" applyProtection="0"/>
    <xf numFmtId="44" fontId="51" fillId="0" borderId="0" applyFont="0" applyFill="0" applyBorder="0" applyAlignment="0" applyProtection="0"/>
  </cellStyleXfs>
  <cellXfs count="721">
    <xf numFmtId="0" fontId="0" fillId="0" borderId="0" xfId="0"/>
    <xf numFmtId="166" fontId="4" fillId="2" borderId="0" xfId="2" applyNumberFormat="1" applyFont="1" applyFill="1"/>
    <xf numFmtId="170" fontId="4" fillId="2" borderId="0" xfId="2" applyNumberFormat="1" applyFont="1" applyFill="1"/>
    <xf numFmtId="170" fontId="4" fillId="2" borderId="1" xfId="2" applyNumberFormat="1" applyFont="1" applyFill="1" applyBorder="1"/>
    <xf numFmtId="170" fontId="4" fillId="2" borderId="0" xfId="2" applyNumberFormat="1" applyFont="1" applyFill="1" applyBorder="1"/>
    <xf numFmtId="170" fontId="4" fillId="2" borderId="2" xfId="2" applyNumberFormat="1" applyFont="1" applyFill="1" applyBorder="1"/>
    <xf numFmtId="166" fontId="4" fillId="2" borderId="0" xfId="2" applyNumberFormat="1" applyFont="1" applyFill="1" applyBorder="1"/>
    <xf numFmtId="166" fontId="5" fillId="2" borderId="0" xfId="2" applyNumberFormat="1" applyFont="1" applyFill="1" applyBorder="1"/>
    <xf numFmtId="166" fontId="4" fillId="2" borderId="2" xfId="2" applyNumberFormat="1" applyFont="1" applyFill="1" applyBorder="1"/>
    <xf numFmtId="166" fontId="4" fillId="2" borderId="3" xfId="2" applyNumberFormat="1" applyFont="1" applyFill="1" applyBorder="1"/>
    <xf numFmtId="166" fontId="4" fillId="2" borderId="1" xfId="2" applyNumberFormat="1" applyFont="1" applyFill="1" applyBorder="1"/>
    <xf numFmtId="166" fontId="5" fillId="2" borderId="0" xfId="2" applyNumberFormat="1" applyFont="1" applyFill="1"/>
    <xf numFmtId="166" fontId="7" fillId="2" borderId="0" xfId="2" applyNumberFormat="1" applyFont="1" applyFill="1" applyBorder="1" applyAlignment="1">
      <alignment horizontal="center"/>
    </xf>
    <xf numFmtId="166" fontId="4" fillId="4" borderId="0" xfId="2" applyNumberFormat="1" applyFont="1" applyFill="1" applyBorder="1"/>
    <xf numFmtId="166" fontId="8" fillId="4" borderId="0" xfId="2" applyNumberFormat="1" applyFont="1" applyFill="1" applyBorder="1"/>
    <xf numFmtId="166" fontId="9" fillId="4" borderId="1" xfId="2" applyNumberFormat="1" applyFont="1" applyFill="1" applyBorder="1"/>
    <xf numFmtId="166" fontId="9" fillId="4" borderId="0" xfId="2" applyNumberFormat="1" applyFont="1" applyFill="1" applyBorder="1"/>
    <xf numFmtId="166" fontId="9" fillId="4" borderId="2" xfId="2" applyNumberFormat="1" applyFont="1" applyFill="1" applyBorder="1"/>
    <xf numFmtId="166" fontId="5" fillId="4" borderId="0" xfId="2" applyNumberFormat="1" applyFont="1" applyFill="1" applyBorder="1"/>
    <xf numFmtId="170" fontId="5" fillId="4" borderId="0" xfId="2" applyNumberFormat="1" applyFont="1" applyFill="1" applyBorder="1" applyAlignment="1">
      <alignment horizontal="center"/>
    </xf>
    <xf numFmtId="170" fontId="4" fillId="4" borderId="0" xfId="2" applyNumberFormat="1" applyFont="1" applyFill="1" applyBorder="1"/>
    <xf numFmtId="170" fontId="5" fillId="4" borderId="0" xfId="2" applyNumberFormat="1" applyFont="1" applyFill="1" applyBorder="1"/>
    <xf numFmtId="170" fontId="5" fillId="4" borderId="3" xfId="2" applyNumberFormat="1" applyFont="1" applyFill="1" applyBorder="1" applyAlignment="1">
      <alignment horizontal="center"/>
    </xf>
    <xf numFmtId="170" fontId="4" fillId="4" borderId="2" xfId="2" applyNumberFormat="1" applyFont="1" applyFill="1" applyBorder="1"/>
    <xf numFmtId="170" fontId="5" fillId="4" borderId="3" xfId="2" applyNumberFormat="1" applyFont="1" applyFill="1" applyBorder="1"/>
    <xf numFmtId="170" fontId="5" fillId="4" borderId="2" xfId="2" applyNumberFormat="1" applyFont="1" applyFill="1" applyBorder="1" applyAlignment="1">
      <alignment horizontal="center"/>
    </xf>
    <xf numFmtId="166" fontId="5" fillId="8" borderId="2" xfId="2" applyNumberFormat="1" applyFont="1" applyFill="1" applyBorder="1" applyAlignment="1">
      <alignment horizontal="center"/>
    </xf>
    <xf numFmtId="166" fontId="4" fillId="8" borderId="0" xfId="2" applyNumberFormat="1" applyFont="1" applyFill="1" applyBorder="1"/>
    <xf numFmtId="166" fontId="5" fillId="6" borderId="2" xfId="2" applyNumberFormat="1" applyFont="1" applyFill="1" applyBorder="1" applyAlignment="1">
      <alignment horizontal="center"/>
    </xf>
    <xf numFmtId="170" fontId="5" fillId="2" borderId="0" xfId="6" applyNumberFormat="1" applyFont="1" applyFill="1"/>
    <xf numFmtId="170" fontId="4" fillId="2" borderId="1" xfId="6" applyNumberFormat="1" applyFont="1" applyFill="1" applyBorder="1"/>
    <xf numFmtId="168" fontId="4" fillId="2" borderId="2" xfId="7" applyNumberFormat="1" applyFont="1" applyFill="1" applyBorder="1"/>
    <xf numFmtId="170" fontId="5" fillId="7" borderId="3" xfId="2" applyNumberFormat="1" applyFont="1" applyFill="1" applyBorder="1" applyAlignment="1">
      <alignment horizontal="center"/>
    </xf>
    <xf numFmtId="165" fontId="5" fillId="7" borderId="3" xfId="2" applyNumberFormat="1" applyFont="1" applyFill="1" applyBorder="1"/>
    <xf numFmtId="170" fontId="5" fillId="7" borderId="3" xfId="2" applyNumberFormat="1" applyFont="1" applyFill="1" applyBorder="1"/>
    <xf numFmtId="170" fontId="5" fillId="6" borderId="3" xfId="2" applyNumberFormat="1" applyFont="1" applyFill="1" applyBorder="1" applyAlignment="1">
      <alignment horizontal="center"/>
    </xf>
    <xf numFmtId="170" fontId="4" fillId="6" borderId="1" xfId="2" applyNumberFormat="1" applyFont="1" applyFill="1" applyBorder="1"/>
    <xf numFmtId="170" fontId="4" fillId="6" borderId="0" xfId="2" applyNumberFormat="1" applyFont="1" applyFill="1" applyBorder="1"/>
    <xf numFmtId="170" fontId="4" fillId="6" borderId="2" xfId="2" applyNumberFormat="1" applyFont="1" applyFill="1" applyBorder="1"/>
    <xf numFmtId="170" fontId="5" fillId="6" borderId="3" xfId="2" applyNumberFormat="1" applyFont="1" applyFill="1" applyBorder="1"/>
    <xf numFmtId="170" fontId="4" fillId="4" borderId="3" xfId="2" applyNumberFormat="1" applyFont="1" applyFill="1" applyBorder="1"/>
    <xf numFmtId="166" fontId="18" fillId="2" borderId="0" xfId="2" applyNumberFormat="1" applyFont="1" applyFill="1" applyBorder="1"/>
    <xf numFmtId="170" fontId="10" fillId="9" borderId="2" xfId="6" applyNumberFormat="1" applyFont="1" applyFill="1" applyBorder="1" applyAlignment="1">
      <alignment horizontal="center"/>
    </xf>
    <xf numFmtId="170" fontId="10" fillId="4" borderId="0" xfId="6" applyNumberFormat="1" applyFont="1" applyFill="1" applyBorder="1"/>
    <xf numFmtId="170" fontId="12" fillId="4" borderId="0" xfId="6" applyNumberFormat="1" applyFont="1" applyFill="1" applyBorder="1"/>
    <xf numFmtId="170" fontId="10" fillId="4" borderId="1" xfId="6" applyNumberFormat="1" applyFont="1" applyFill="1" applyBorder="1" applyAlignment="1">
      <alignment horizontal="center"/>
    </xf>
    <xf numFmtId="170" fontId="10" fillId="4" borderId="2" xfId="6" applyNumberFormat="1" applyFont="1" applyFill="1" applyBorder="1" applyAlignment="1">
      <alignment horizontal="center"/>
    </xf>
    <xf numFmtId="164" fontId="9" fillId="4" borderId="0" xfId="2" applyFont="1" applyFill="1" applyBorder="1" applyAlignment="1">
      <alignment horizontal="left"/>
    </xf>
    <xf numFmtId="170" fontId="10" fillId="8" borderId="2" xfId="6" applyNumberFormat="1" applyFont="1" applyFill="1" applyBorder="1" applyAlignment="1">
      <alignment horizontal="center"/>
    </xf>
    <xf numFmtId="166" fontId="9" fillId="8" borderId="0" xfId="2" applyNumberFormat="1" applyFont="1" applyFill="1" applyBorder="1"/>
    <xf numFmtId="170" fontId="10" fillId="7" borderId="2" xfId="6" applyNumberFormat="1" applyFont="1" applyFill="1" applyBorder="1" applyAlignment="1">
      <alignment horizontal="center"/>
    </xf>
    <xf numFmtId="166" fontId="9" fillId="7" borderId="0" xfId="2" applyNumberFormat="1" applyFont="1" applyFill="1" applyBorder="1"/>
    <xf numFmtId="166" fontId="5" fillId="4" borderId="1" xfId="2" applyNumberFormat="1" applyFont="1" applyFill="1" applyBorder="1"/>
    <xf numFmtId="170" fontId="9" fillId="4" borderId="3" xfId="6" applyNumberFormat="1" applyFont="1" applyFill="1" applyBorder="1"/>
    <xf numFmtId="166" fontId="5" fillId="4" borderId="3" xfId="2" applyNumberFormat="1" applyFont="1" applyFill="1" applyBorder="1"/>
    <xf numFmtId="170" fontId="4" fillId="2" borderId="0" xfId="6" applyNumberFormat="1" applyFont="1" applyFill="1"/>
    <xf numFmtId="166" fontId="7" fillId="2" borderId="0" xfId="2" applyNumberFormat="1" applyFont="1" applyFill="1" applyBorder="1"/>
    <xf numFmtId="166" fontId="12" fillId="4" borderId="0" xfId="6" applyNumberFormat="1" applyFont="1" applyFill="1" applyBorder="1"/>
    <xf numFmtId="166" fontId="4" fillId="4" borderId="1" xfId="2" applyNumberFormat="1" applyFont="1" applyFill="1" applyBorder="1"/>
    <xf numFmtId="166" fontId="21" fillId="4" borderId="0" xfId="2" applyNumberFormat="1" applyFont="1" applyFill="1"/>
    <xf numFmtId="170" fontId="15" fillId="2" borderId="0" xfId="2" applyNumberFormat="1" applyFont="1" applyFill="1"/>
    <xf numFmtId="170" fontId="17" fillId="2" borderId="0" xfId="2" applyNumberFormat="1" applyFont="1" applyFill="1"/>
    <xf numFmtId="170" fontId="10" fillId="2" borderId="0" xfId="2" applyNumberFormat="1" applyFont="1" applyFill="1"/>
    <xf numFmtId="170" fontId="9" fillId="2" borderId="0" xfId="2" applyNumberFormat="1" applyFont="1" applyFill="1"/>
    <xf numFmtId="170" fontId="10" fillId="2" borderId="0" xfId="2" applyNumberFormat="1" applyFont="1" applyFill="1" applyAlignment="1">
      <alignment horizontal="left"/>
    </xf>
    <xf numFmtId="170" fontId="10" fillId="2" borderId="0" xfId="2" applyNumberFormat="1" applyFont="1" applyFill="1" applyAlignment="1">
      <alignment horizontal="center"/>
    </xf>
    <xf numFmtId="170" fontId="12" fillId="2" borderId="0" xfId="2" applyNumberFormat="1" applyFont="1" applyFill="1"/>
    <xf numFmtId="1" fontId="13" fillId="10" borderId="2" xfId="2" applyNumberFormat="1" applyFont="1" applyFill="1" applyBorder="1" applyAlignment="1">
      <alignment horizontal="center"/>
    </xf>
    <xf numFmtId="170" fontId="19" fillId="2" borderId="0" xfId="2" applyNumberFormat="1" applyFont="1" applyFill="1"/>
    <xf numFmtId="170" fontId="12" fillId="4" borderId="0" xfId="2" applyNumberFormat="1" applyFont="1" applyFill="1" applyBorder="1"/>
    <xf numFmtId="170" fontId="12" fillId="2" borderId="0" xfId="2" applyNumberFormat="1" applyFont="1" applyFill="1" applyBorder="1"/>
    <xf numFmtId="168" fontId="12" fillId="4" borderId="0" xfId="4" applyNumberFormat="1" applyFont="1" applyFill="1" applyBorder="1"/>
    <xf numFmtId="170" fontId="19" fillId="4" borderId="0" xfId="2" applyNumberFormat="1" applyFont="1" applyFill="1" applyBorder="1"/>
    <xf numFmtId="170" fontId="12" fillId="4" borderId="0" xfId="2" applyNumberFormat="1" applyFont="1" applyFill="1"/>
    <xf numFmtId="170" fontId="19" fillId="2" borderId="0" xfId="2" applyNumberFormat="1" applyFont="1" applyFill="1" applyBorder="1"/>
    <xf numFmtId="170" fontId="12" fillId="2" borderId="0" xfId="2" applyNumberFormat="1" applyFont="1" applyFill="1" applyBorder="1" applyAlignment="1">
      <alignment horizontal="left"/>
    </xf>
    <xf numFmtId="9" fontId="12" fillId="2" borderId="0" xfId="4" applyFont="1" applyFill="1"/>
    <xf numFmtId="170" fontId="19" fillId="2" borderId="0" xfId="2" applyNumberFormat="1" applyFont="1" applyFill="1" applyBorder="1" applyAlignment="1">
      <alignment horizontal="left"/>
    </xf>
    <xf numFmtId="170" fontId="12" fillId="2" borderId="0" xfId="2" applyNumberFormat="1" applyFont="1" applyFill="1" applyBorder="1" applyAlignment="1">
      <alignment horizontal="right"/>
    </xf>
    <xf numFmtId="165" fontId="12" fillId="2" borderId="0" xfId="2" applyNumberFormat="1" applyFont="1" applyFill="1"/>
    <xf numFmtId="169" fontId="19" fillId="4" borderId="0" xfId="2" applyNumberFormat="1" applyFont="1" applyFill="1" applyBorder="1"/>
    <xf numFmtId="168" fontId="19" fillId="2" borderId="0" xfId="4" applyNumberFormat="1" applyFont="1" applyFill="1" applyBorder="1"/>
    <xf numFmtId="170" fontId="9" fillId="4" borderId="1" xfId="2" applyNumberFormat="1" applyFont="1" applyFill="1" applyBorder="1"/>
    <xf numFmtId="170" fontId="9" fillId="2" borderId="1" xfId="2" applyNumberFormat="1" applyFont="1" applyFill="1" applyBorder="1"/>
    <xf numFmtId="170" fontId="9" fillId="4" borderId="0" xfId="2" applyNumberFormat="1" applyFont="1" applyFill="1" applyBorder="1"/>
    <xf numFmtId="168" fontId="9" fillId="4" borderId="0" xfId="4" applyNumberFormat="1" applyFont="1" applyFill="1" applyBorder="1"/>
    <xf numFmtId="170" fontId="9" fillId="4" borderId="2" xfId="2" applyNumberFormat="1" applyFont="1" applyFill="1" applyBorder="1"/>
    <xf numFmtId="170" fontId="9" fillId="2" borderId="2" xfId="2" applyNumberFormat="1" applyFont="1" applyFill="1" applyBorder="1"/>
    <xf numFmtId="168" fontId="9" fillId="4" borderId="2" xfId="4" applyNumberFormat="1" applyFont="1" applyFill="1" applyBorder="1"/>
    <xf numFmtId="170" fontId="10" fillId="2" borderId="3" xfId="2" applyNumberFormat="1" applyFont="1" applyFill="1" applyBorder="1"/>
    <xf numFmtId="170" fontId="11" fillId="2" borderId="1" xfId="2" applyNumberFormat="1" applyFont="1" applyFill="1" applyBorder="1"/>
    <xf numFmtId="168" fontId="11" fillId="2" borderId="1" xfId="4" applyNumberFormat="1" applyFont="1" applyFill="1" applyBorder="1"/>
    <xf numFmtId="168" fontId="11" fillId="4" borderId="1" xfId="4" applyNumberFormat="1" applyFont="1" applyFill="1" applyBorder="1"/>
    <xf numFmtId="170" fontId="11" fillId="2" borderId="0" xfId="2" applyNumberFormat="1" applyFont="1" applyFill="1" applyBorder="1"/>
    <xf numFmtId="168" fontId="11" fillId="2" borderId="0" xfId="4" applyNumberFormat="1" applyFont="1" applyFill="1" applyBorder="1"/>
    <xf numFmtId="168" fontId="11" fillId="4" borderId="0" xfId="4" applyNumberFormat="1" applyFont="1" applyFill="1" applyBorder="1"/>
    <xf numFmtId="170" fontId="11" fillId="2" borderId="2" xfId="2" applyNumberFormat="1" applyFont="1" applyFill="1" applyBorder="1"/>
    <xf numFmtId="168" fontId="11" fillId="2" borderId="2" xfId="4" applyNumberFormat="1" applyFont="1" applyFill="1" applyBorder="1"/>
    <xf numFmtId="168" fontId="11" fillId="4" borderId="2" xfId="4" applyNumberFormat="1" applyFont="1" applyFill="1" applyBorder="1"/>
    <xf numFmtId="170" fontId="22" fillId="2" borderId="0" xfId="2" applyNumberFormat="1" applyFont="1" applyFill="1"/>
    <xf numFmtId="168" fontId="22" fillId="2" borderId="0" xfId="4" applyNumberFormat="1" applyFont="1" applyFill="1"/>
    <xf numFmtId="169" fontId="9" fillId="2" borderId="0" xfId="2" applyNumberFormat="1" applyFont="1" applyFill="1"/>
    <xf numFmtId="170" fontId="10" fillId="4" borderId="0" xfId="2" applyNumberFormat="1" applyFont="1" applyFill="1" applyBorder="1"/>
    <xf numFmtId="170" fontId="11" fillId="2" borderId="3" xfId="2" applyNumberFormat="1" applyFont="1" applyFill="1" applyBorder="1"/>
    <xf numFmtId="9" fontId="11" fillId="2" borderId="3" xfId="4" applyFont="1" applyFill="1" applyBorder="1"/>
    <xf numFmtId="168" fontId="11" fillId="2" borderId="3" xfId="4" applyNumberFormat="1" applyFont="1" applyFill="1" applyBorder="1"/>
    <xf numFmtId="1" fontId="13" fillId="11" borderId="2" xfId="2" applyNumberFormat="1" applyFont="1" applyFill="1" applyBorder="1" applyAlignment="1">
      <alignment horizontal="center"/>
    </xf>
    <xf numFmtId="170" fontId="10" fillId="2" borderId="0" xfId="2" applyNumberFormat="1" applyFont="1" applyFill="1" applyBorder="1" applyAlignment="1">
      <alignment horizontal="left"/>
    </xf>
    <xf numFmtId="9" fontId="9" fillId="4" borderId="0" xfId="4" applyFont="1" applyFill="1" applyBorder="1"/>
    <xf numFmtId="170" fontId="9" fillId="2" borderId="1" xfId="2" applyNumberFormat="1" applyFont="1" applyFill="1" applyBorder="1" applyAlignment="1">
      <alignment horizontal="left"/>
    </xf>
    <xf numFmtId="170" fontId="9" fillId="2" borderId="0" xfId="2" applyNumberFormat="1" applyFont="1" applyFill="1" applyBorder="1" applyAlignment="1">
      <alignment horizontal="left"/>
    </xf>
    <xf numFmtId="170" fontId="10" fillId="2" borderId="3" xfId="2" applyNumberFormat="1" applyFont="1" applyFill="1" applyBorder="1" applyAlignment="1">
      <alignment horizontal="left"/>
    </xf>
    <xf numFmtId="170" fontId="9" fillId="2" borderId="0" xfId="2" applyNumberFormat="1" applyFont="1" applyFill="1" applyBorder="1"/>
    <xf numFmtId="170" fontId="9" fillId="2" borderId="0" xfId="4" applyNumberFormat="1" applyFont="1" applyFill="1"/>
    <xf numFmtId="170" fontId="9" fillId="2" borderId="2" xfId="2" applyNumberFormat="1" applyFont="1" applyFill="1" applyBorder="1" applyAlignment="1">
      <alignment horizontal="left"/>
    </xf>
    <xf numFmtId="170" fontId="9" fillId="2" borderId="0" xfId="4" applyNumberFormat="1" applyFont="1" applyFill="1" applyBorder="1"/>
    <xf numFmtId="170" fontId="10" fillId="2" borderId="0" xfId="2" applyNumberFormat="1" applyFont="1" applyFill="1" applyBorder="1"/>
    <xf numFmtId="170" fontId="10" fillId="4" borderId="3" xfId="2" applyNumberFormat="1" applyFont="1" applyFill="1" applyBorder="1"/>
    <xf numFmtId="170" fontId="10" fillId="2" borderId="3" xfId="4" applyNumberFormat="1" applyFont="1" applyFill="1" applyBorder="1"/>
    <xf numFmtId="170" fontId="24" fillId="2" borderId="0" xfId="2" applyNumberFormat="1" applyFont="1" applyFill="1"/>
    <xf numFmtId="170" fontId="24" fillId="2" borderId="0" xfId="2" applyNumberFormat="1" applyFont="1" applyFill="1" applyBorder="1"/>
    <xf numFmtId="170" fontId="24" fillId="2" borderId="0" xfId="2" applyNumberFormat="1" applyFont="1" applyFill="1" applyBorder="1" applyAlignment="1">
      <alignment horizontal="right"/>
    </xf>
    <xf numFmtId="170" fontId="9" fillId="2" borderId="0" xfId="2" applyNumberFormat="1" applyFont="1" applyFill="1" applyBorder="1" applyAlignment="1">
      <alignment horizontal="right"/>
    </xf>
    <xf numFmtId="166" fontId="9" fillId="2" borderId="0" xfId="2" applyNumberFormat="1" applyFont="1" applyFill="1" applyBorder="1"/>
    <xf numFmtId="170" fontId="22" fillId="2" borderId="0" xfId="2" applyNumberFormat="1" applyFont="1" applyFill="1" applyBorder="1"/>
    <xf numFmtId="9" fontId="12" fillId="2" borderId="0" xfId="4" applyFont="1" applyFill="1" applyBorder="1"/>
    <xf numFmtId="170" fontId="15" fillId="2" borderId="0" xfId="2" applyNumberFormat="1" applyFont="1" applyFill="1" applyBorder="1"/>
    <xf numFmtId="170" fontId="17" fillId="2" borderId="0" xfId="2" applyNumberFormat="1" applyFont="1" applyFill="1" applyBorder="1"/>
    <xf numFmtId="170" fontId="12" fillId="2" borderId="0" xfId="4" applyNumberFormat="1" applyFont="1" applyFill="1"/>
    <xf numFmtId="170" fontId="9" fillId="2" borderId="3" xfId="2" applyNumberFormat="1" applyFont="1" applyFill="1" applyBorder="1"/>
    <xf numFmtId="170" fontId="13" fillId="2" borderId="0" xfId="2" applyNumberFormat="1" applyFont="1" applyFill="1"/>
    <xf numFmtId="169" fontId="19" fillId="4" borderId="0" xfId="2" applyNumberFormat="1" applyFont="1" applyFill="1" applyBorder="1" applyAlignment="1">
      <alignment horizontal="center"/>
    </xf>
    <xf numFmtId="170" fontId="19" fillId="4" borderId="0" xfId="2" applyNumberFormat="1" applyFont="1" applyFill="1" applyBorder="1" applyAlignment="1">
      <alignment horizontal="center"/>
    </xf>
    <xf numFmtId="170" fontId="24" fillId="4" borderId="1" xfId="2" applyNumberFormat="1" applyFont="1" applyFill="1" applyBorder="1"/>
    <xf numFmtId="170" fontId="24" fillId="4" borderId="0" xfId="2" applyNumberFormat="1" applyFont="1" applyFill="1" applyBorder="1"/>
    <xf numFmtId="166" fontId="24" fillId="4" borderId="0" xfId="2" applyNumberFormat="1" applyFont="1" applyFill="1" applyBorder="1"/>
    <xf numFmtId="170" fontId="19" fillId="4" borderId="0" xfId="2" applyNumberFormat="1" applyFont="1" applyFill="1" applyAlignment="1">
      <alignment horizontal="center"/>
    </xf>
    <xf numFmtId="166" fontId="22" fillId="4" borderId="0" xfId="2" applyNumberFormat="1" applyFont="1" applyFill="1" applyBorder="1"/>
    <xf numFmtId="170" fontId="9" fillId="4" borderId="1" xfId="4" applyNumberFormat="1" applyFont="1" applyFill="1" applyBorder="1"/>
    <xf numFmtId="170" fontId="9" fillId="4" borderId="0" xfId="4" applyNumberFormat="1" applyFont="1" applyFill="1" applyBorder="1"/>
    <xf numFmtId="166" fontId="5" fillId="4" borderId="2" xfId="2" applyNumberFormat="1" applyFont="1" applyFill="1" applyBorder="1"/>
    <xf numFmtId="170" fontId="9" fillId="4" borderId="1" xfId="2" applyNumberFormat="1" applyFont="1" applyFill="1" applyBorder="1" applyAlignment="1">
      <alignment horizontal="left"/>
    </xf>
    <xf numFmtId="170" fontId="9" fillId="4" borderId="0" xfId="2" applyNumberFormat="1" applyFont="1" applyFill="1" applyBorder="1" applyAlignment="1">
      <alignment horizontal="left"/>
    </xf>
    <xf numFmtId="170" fontId="9" fillId="4" borderId="2" xfId="2" applyNumberFormat="1" applyFont="1" applyFill="1" applyBorder="1" applyAlignment="1">
      <alignment horizontal="left"/>
    </xf>
    <xf numFmtId="170" fontId="9" fillId="4" borderId="0" xfId="2" applyNumberFormat="1" applyFont="1" applyFill="1" applyBorder="1" applyAlignment="1">
      <alignment horizontal="right"/>
    </xf>
    <xf numFmtId="170" fontId="22" fillId="4" borderId="0" xfId="2" applyNumberFormat="1" applyFont="1" applyFill="1" applyBorder="1"/>
    <xf numFmtId="170" fontId="22" fillId="4" borderId="0" xfId="2" applyNumberFormat="1" applyFont="1" applyFill="1"/>
    <xf numFmtId="170" fontId="10" fillId="4" borderId="1" xfId="2" applyNumberFormat="1" applyFont="1" applyFill="1" applyBorder="1"/>
    <xf numFmtId="170" fontId="22" fillId="4" borderId="0" xfId="6" applyNumberFormat="1" applyFont="1" applyFill="1" applyAlignment="1">
      <alignment horizontal="right"/>
    </xf>
    <xf numFmtId="170" fontId="22" fillId="4" borderId="0" xfId="6" applyNumberFormat="1" applyFont="1" applyFill="1" applyBorder="1" applyAlignment="1">
      <alignment horizontal="right"/>
    </xf>
    <xf numFmtId="170" fontId="27" fillId="2" borderId="0" xfId="2" applyNumberFormat="1" applyFont="1" applyFill="1"/>
    <xf numFmtId="166" fontId="9" fillId="4" borderId="0" xfId="2" applyNumberFormat="1" applyFont="1" applyFill="1"/>
    <xf numFmtId="166" fontId="9" fillId="2" borderId="0" xfId="2" applyNumberFormat="1" applyFont="1" applyFill="1"/>
    <xf numFmtId="166" fontId="10" fillId="2" borderId="0" xfId="2" applyNumberFormat="1" applyFont="1" applyFill="1"/>
    <xf numFmtId="166" fontId="9" fillId="2" borderId="1" xfId="2" applyNumberFormat="1" applyFont="1" applyFill="1" applyBorder="1"/>
    <xf numFmtId="166" fontId="9" fillId="2" borderId="2" xfId="2" applyNumberFormat="1" applyFont="1" applyFill="1" applyBorder="1"/>
    <xf numFmtId="170" fontId="29" fillId="4" borderId="0" xfId="2" applyNumberFormat="1" applyFont="1" applyFill="1" applyAlignment="1">
      <alignment horizontal="center"/>
    </xf>
    <xf numFmtId="166" fontId="30" fillId="4" borderId="0" xfId="2" applyNumberFormat="1" applyFont="1" applyFill="1" applyBorder="1"/>
    <xf numFmtId="9" fontId="30" fillId="4" borderId="0" xfId="4" applyFont="1" applyFill="1" applyBorder="1"/>
    <xf numFmtId="166" fontId="30" fillId="4" borderId="0" xfId="2" applyNumberFormat="1" applyFont="1" applyFill="1"/>
    <xf numFmtId="9" fontId="30" fillId="4" borderId="0" xfId="4" applyFont="1" applyFill="1"/>
    <xf numFmtId="170" fontId="30" fillId="4" borderId="0" xfId="2" applyNumberFormat="1" applyFont="1" applyFill="1" applyBorder="1"/>
    <xf numFmtId="166" fontId="29" fillId="4" borderId="0" xfId="2" applyNumberFormat="1" applyFont="1" applyFill="1"/>
    <xf numFmtId="9" fontId="30" fillId="4" borderId="0" xfId="4" applyFont="1" applyFill="1" applyBorder="1" applyAlignment="1">
      <alignment horizontal="right"/>
    </xf>
    <xf numFmtId="172" fontId="30" fillId="4" borderId="0" xfId="4" applyNumberFormat="1" applyFont="1" applyFill="1"/>
    <xf numFmtId="171" fontId="30" fillId="4" borderId="0" xfId="4" applyNumberFormat="1" applyFont="1" applyFill="1"/>
    <xf numFmtId="170" fontId="29" fillId="4" borderId="0" xfId="2" applyNumberFormat="1" applyFont="1" applyFill="1" applyBorder="1" applyAlignment="1">
      <alignment horizontal="center"/>
    </xf>
    <xf numFmtId="9" fontId="30" fillId="4" borderId="0" xfId="4" applyFont="1" applyFill="1" applyAlignment="1">
      <alignment horizontal="right"/>
    </xf>
    <xf numFmtId="166" fontId="31" fillId="4" borderId="0" xfId="2" applyNumberFormat="1" applyFont="1" applyFill="1"/>
    <xf numFmtId="166" fontId="22" fillId="2" borderId="0" xfId="2" applyNumberFormat="1" applyFont="1" applyFill="1"/>
    <xf numFmtId="166" fontId="8" fillId="2" borderId="0" xfId="2" applyNumberFormat="1" applyFont="1" applyFill="1" applyBorder="1"/>
    <xf numFmtId="166" fontId="23" fillId="4" borderId="0" xfId="2" applyNumberFormat="1" applyFont="1" applyFill="1" applyBorder="1"/>
    <xf numFmtId="166" fontId="8" fillId="2" borderId="0" xfId="2" applyNumberFormat="1" applyFont="1" applyFill="1"/>
    <xf numFmtId="170" fontId="7" fillId="4" borderId="0" xfId="2" applyNumberFormat="1" applyFont="1" applyFill="1" applyBorder="1" applyAlignment="1">
      <alignment horizontal="center"/>
    </xf>
    <xf numFmtId="170" fontId="8" fillId="4" borderId="0" xfId="2" applyNumberFormat="1" applyFont="1" applyFill="1" applyBorder="1"/>
    <xf numFmtId="166" fontId="6" fillId="2" borderId="0" xfId="2" applyNumberFormat="1" applyFont="1" applyFill="1" applyBorder="1"/>
    <xf numFmtId="166" fontId="5" fillId="2" borderId="5" xfId="2" applyNumberFormat="1" applyFont="1" applyFill="1" applyBorder="1"/>
    <xf numFmtId="166" fontId="7" fillId="4" borderId="0" xfId="2" applyNumberFormat="1" applyFont="1" applyFill="1" applyBorder="1"/>
    <xf numFmtId="168" fontId="33" fillId="4" borderId="0" xfId="4" applyNumberFormat="1" applyFont="1" applyFill="1"/>
    <xf numFmtId="166" fontId="8" fillId="4" borderId="1" xfId="2" applyNumberFormat="1" applyFont="1" applyFill="1" applyBorder="1"/>
    <xf numFmtId="170" fontId="8" fillId="2" borderId="0" xfId="2" applyNumberFormat="1" applyFont="1" applyFill="1"/>
    <xf numFmtId="9" fontId="8" fillId="2" borderId="2" xfId="4" applyFont="1" applyFill="1" applyBorder="1"/>
    <xf numFmtId="9" fontId="23" fillId="4" borderId="0" xfId="4" applyFont="1" applyFill="1"/>
    <xf numFmtId="170" fontId="23" fillId="4" borderId="0" xfId="2" applyNumberFormat="1" applyFont="1" applyFill="1"/>
    <xf numFmtId="170" fontId="8" fillId="4" borderId="0" xfId="2" applyNumberFormat="1" applyFont="1" applyFill="1"/>
    <xf numFmtId="3" fontId="8" fillId="4" borderId="0" xfId="0" applyNumberFormat="1" applyFont="1" applyFill="1" applyBorder="1"/>
    <xf numFmtId="170" fontId="33" fillId="4" borderId="0" xfId="6" applyNumberFormat="1" applyFont="1" applyFill="1" applyBorder="1"/>
    <xf numFmtId="166" fontId="23" fillId="4" borderId="1" xfId="2" applyNumberFormat="1" applyFont="1" applyFill="1" applyBorder="1"/>
    <xf numFmtId="170" fontId="14" fillId="4" borderId="0" xfId="2" applyNumberFormat="1" applyFont="1" applyFill="1" applyBorder="1"/>
    <xf numFmtId="168" fontId="4" fillId="2" borderId="0" xfId="7" applyNumberFormat="1" applyFont="1" applyFill="1" applyBorder="1"/>
    <xf numFmtId="9" fontId="4" fillId="2" borderId="0" xfId="4" applyFont="1" applyFill="1" applyBorder="1"/>
    <xf numFmtId="170" fontId="9" fillId="4" borderId="0" xfId="6" applyNumberFormat="1" applyFont="1" applyFill="1" applyBorder="1"/>
    <xf numFmtId="10" fontId="34" fillId="4" borderId="0" xfId="4" applyNumberFormat="1" applyFont="1" applyFill="1" applyBorder="1"/>
    <xf numFmtId="10" fontId="34" fillId="4" borderId="2" xfId="4" applyNumberFormat="1" applyFont="1" applyFill="1" applyBorder="1"/>
    <xf numFmtId="168" fontId="34" fillId="2" borderId="1" xfId="7" applyNumberFormat="1" applyFont="1" applyFill="1" applyBorder="1"/>
    <xf numFmtId="168" fontId="34" fillId="2" borderId="0" xfId="7" applyNumberFormat="1" applyFont="1" applyFill="1" applyBorder="1"/>
    <xf numFmtId="166" fontId="34" fillId="4" borderId="3" xfId="2" applyNumberFormat="1" applyFont="1" applyFill="1" applyBorder="1"/>
    <xf numFmtId="166" fontId="35" fillId="8" borderId="0" xfId="2" applyNumberFormat="1" applyFont="1" applyFill="1" applyBorder="1"/>
    <xf numFmtId="166" fontId="35" fillId="4" borderId="1" xfId="2" applyNumberFormat="1" applyFont="1" applyFill="1" applyBorder="1"/>
    <xf numFmtId="166" fontId="35" fillId="4" borderId="2" xfId="2" applyNumberFormat="1" applyFont="1" applyFill="1" applyBorder="1"/>
    <xf numFmtId="166" fontId="9" fillId="4" borderId="0" xfId="2" applyNumberFormat="1" applyFont="1" applyFill="1" applyBorder="1" applyAlignment="1">
      <alignment vertical="center"/>
    </xf>
    <xf numFmtId="168" fontId="35" fillId="4" borderId="0" xfId="4" applyNumberFormat="1" applyFont="1" applyFill="1" applyBorder="1" applyAlignment="1">
      <alignment vertical="center"/>
    </xf>
    <xf numFmtId="166" fontId="24" fillId="4" borderId="0" xfId="2" applyNumberFormat="1" applyFont="1" applyFill="1" applyBorder="1" applyAlignment="1">
      <alignment vertical="center"/>
    </xf>
    <xf numFmtId="10" fontId="35" fillId="4" borderId="0" xfId="4" applyNumberFormat="1" applyFont="1" applyFill="1" applyBorder="1" applyAlignment="1">
      <alignment vertical="center"/>
    </xf>
    <xf numFmtId="168" fontId="35" fillId="4" borderId="1" xfId="4" applyNumberFormat="1" applyFont="1" applyFill="1" applyBorder="1" applyAlignment="1">
      <alignment vertical="center"/>
    </xf>
    <xf numFmtId="166" fontId="7" fillId="4" borderId="2" xfId="2" applyNumberFormat="1" applyFont="1" applyFill="1" applyBorder="1"/>
    <xf numFmtId="168" fontId="35" fillId="4" borderId="2" xfId="4" applyNumberFormat="1" applyFont="1" applyFill="1" applyBorder="1" applyAlignment="1">
      <alignment vertical="center"/>
    </xf>
    <xf numFmtId="166" fontId="5" fillId="4" borderId="1" xfId="2" applyNumberFormat="1" applyFont="1" applyFill="1" applyBorder="1" applyAlignment="1">
      <alignment horizontal="left"/>
    </xf>
    <xf numFmtId="166" fontId="5" fillId="4" borderId="2" xfId="2" applyNumberFormat="1" applyFont="1" applyFill="1" applyBorder="1" applyAlignment="1">
      <alignment horizontal="left"/>
    </xf>
    <xf numFmtId="166" fontId="5" fillId="4" borderId="2" xfId="2" applyNumberFormat="1" applyFont="1" applyFill="1" applyBorder="1" applyAlignment="1">
      <alignment horizontal="center"/>
    </xf>
    <xf numFmtId="166" fontId="5" fillId="2" borderId="2" xfId="2" applyNumberFormat="1" applyFont="1" applyFill="1" applyBorder="1" applyAlignment="1">
      <alignment horizontal="center"/>
    </xf>
    <xf numFmtId="166" fontId="4" fillId="5" borderId="0" xfId="2" applyNumberFormat="1" applyFont="1" applyFill="1" applyBorder="1" applyAlignment="1"/>
    <xf numFmtId="166" fontId="5" fillId="3" borderId="5" xfId="2" applyNumberFormat="1" applyFont="1" applyFill="1" applyBorder="1" applyAlignment="1">
      <alignment horizontal="left"/>
    </xf>
    <xf numFmtId="166" fontId="5" fillId="3" borderId="5" xfId="2" applyNumberFormat="1" applyFont="1" applyFill="1" applyBorder="1" applyAlignment="1"/>
    <xf numFmtId="166" fontId="5" fillId="4" borderId="5" xfId="2" applyNumberFormat="1" applyFont="1" applyFill="1" applyBorder="1" applyAlignment="1">
      <alignment horizontal="right"/>
    </xf>
    <xf numFmtId="166" fontId="14" fillId="2" borderId="0" xfId="2" applyNumberFormat="1" applyFont="1" applyFill="1" applyBorder="1"/>
    <xf numFmtId="166" fontId="4" fillId="2" borderId="0" xfId="2" applyNumberFormat="1" applyFont="1" applyFill="1" applyBorder="1" applyAlignment="1">
      <alignment horizontal="right"/>
    </xf>
    <xf numFmtId="166" fontId="5" fillId="2" borderId="3" xfId="2" applyNumberFormat="1" applyFont="1" applyFill="1" applyBorder="1"/>
    <xf numFmtId="166" fontId="5" fillId="9" borderId="3" xfId="2" applyNumberFormat="1" applyFont="1" applyFill="1" applyBorder="1" applyAlignment="1">
      <alignment horizontal="center"/>
    </xf>
    <xf numFmtId="166" fontId="5" fillId="9" borderId="2" xfId="2" applyNumberFormat="1" applyFont="1" applyFill="1" applyBorder="1"/>
    <xf numFmtId="166" fontId="5" fillId="9" borderId="3" xfId="2" applyNumberFormat="1" applyFont="1" applyFill="1" applyBorder="1"/>
    <xf numFmtId="166" fontId="34" fillId="2" borderId="0" xfId="2" applyNumberFormat="1" applyFont="1" applyFill="1" applyBorder="1"/>
    <xf numFmtId="166" fontId="36" fillId="4" borderId="1" xfId="2" applyNumberFormat="1" applyFont="1" applyFill="1" applyBorder="1"/>
    <xf numFmtId="166" fontId="6" fillId="4" borderId="0" xfId="2" applyNumberFormat="1" applyFont="1" applyFill="1" applyBorder="1"/>
    <xf numFmtId="166" fontId="6" fillId="4" borderId="2" xfId="2" applyNumberFormat="1" applyFont="1" applyFill="1" applyBorder="1"/>
    <xf numFmtId="166" fontId="32" fillId="4" borderId="2" xfId="2" applyNumberFormat="1" applyFont="1" applyFill="1" applyBorder="1"/>
    <xf numFmtId="166" fontId="8" fillId="4" borderId="6" xfId="2" applyNumberFormat="1" applyFont="1" applyFill="1" applyBorder="1"/>
    <xf numFmtId="166" fontId="35" fillId="4" borderId="6" xfId="2" applyNumberFormat="1" applyFont="1" applyFill="1" applyBorder="1" applyAlignment="1">
      <alignment vertical="center"/>
    </xf>
    <xf numFmtId="166" fontId="6" fillId="4" borderId="6" xfId="2" applyNumberFormat="1" applyFont="1" applyFill="1" applyBorder="1"/>
    <xf numFmtId="166" fontId="23" fillId="4" borderId="6" xfId="2" applyNumberFormat="1" applyFont="1" applyFill="1" applyBorder="1"/>
    <xf numFmtId="166" fontId="34" fillId="2" borderId="1" xfId="2" applyNumberFormat="1" applyFont="1" applyFill="1" applyBorder="1"/>
    <xf numFmtId="168" fontId="34" fillId="2" borderId="2" xfId="4" applyNumberFormat="1" applyFont="1" applyFill="1" applyBorder="1"/>
    <xf numFmtId="170" fontId="24" fillId="2" borderId="0" xfId="2" applyNumberFormat="1" applyFont="1" applyFill="1" applyBorder="1" applyAlignment="1">
      <alignment horizontal="left"/>
    </xf>
    <xf numFmtId="170" fontId="10" fillId="2" borderId="1" xfId="2" applyNumberFormat="1" applyFont="1" applyFill="1" applyBorder="1" applyAlignment="1">
      <alignment horizontal="left"/>
    </xf>
    <xf numFmtId="168" fontId="34" fillId="4" borderId="3" xfId="4" applyNumberFormat="1" applyFont="1" applyFill="1" applyBorder="1"/>
    <xf numFmtId="170" fontId="9" fillId="2" borderId="7" xfId="2" applyNumberFormat="1" applyFont="1" applyFill="1" applyBorder="1"/>
    <xf numFmtId="170" fontId="10" fillId="4" borderId="0" xfId="2" applyNumberFormat="1" applyFont="1" applyFill="1"/>
    <xf numFmtId="170" fontId="9" fillId="4" borderId="7" xfId="2" applyNumberFormat="1" applyFont="1" applyFill="1" applyBorder="1"/>
    <xf numFmtId="170" fontId="33" fillId="2" borderId="0" xfId="2" applyNumberFormat="1" applyFont="1" applyFill="1"/>
    <xf numFmtId="170" fontId="4" fillId="4" borderId="1" xfId="6" applyNumberFormat="1" applyFont="1" applyFill="1" applyBorder="1"/>
    <xf numFmtId="170" fontId="4" fillId="4" borderId="0" xfId="6" applyNumberFormat="1" applyFont="1" applyFill="1" applyBorder="1"/>
    <xf numFmtId="170" fontId="4" fillId="4" borderId="2" xfId="6" applyNumberFormat="1" applyFont="1" applyFill="1" applyBorder="1"/>
    <xf numFmtId="166" fontId="5" fillId="2" borderId="0" xfId="2" applyNumberFormat="1" applyFont="1" applyFill="1" applyBorder="1" applyAlignment="1">
      <alignment horizontal="right"/>
    </xf>
    <xf numFmtId="166" fontId="5" fillId="2" borderId="1" xfId="2" applyNumberFormat="1" applyFont="1" applyFill="1" applyBorder="1"/>
    <xf numFmtId="166" fontId="5" fillId="2" borderId="2" xfId="2" applyNumberFormat="1" applyFont="1" applyFill="1" applyBorder="1"/>
    <xf numFmtId="9" fontId="37" fillId="2" borderId="3" xfId="4" applyFont="1" applyFill="1" applyBorder="1"/>
    <xf numFmtId="9" fontId="37" fillId="2" borderId="1" xfId="4" applyFont="1" applyFill="1" applyBorder="1"/>
    <xf numFmtId="166" fontId="37" fillId="2" borderId="2" xfId="2" applyNumberFormat="1" applyFont="1" applyFill="1" applyBorder="1"/>
    <xf numFmtId="166" fontId="5" fillId="9" borderId="1" xfId="2" applyNumberFormat="1" applyFont="1" applyFill="1" applyBorder="1"/>
    <xf numFmtId="166" fontId="33" fillId="4" borderId="0" xfId="2" applyNumberFormat="1" applyFont="1" applyFill="1"/>
    <xf numFmtId="168" fontId="33" fillId="2" borderId="0" xfId="4" applyNumberFormat="1" applyFont="1" applyFill="1"/>
    <xf numFmtId="170" fontId="33" fillId="2" borderId="0" xfId="2" applyNumberFormat="1" applyFont="1" applyFill="1" applyBorder="1"/>
    <xf numFmtId="166" fontId="4" fillId="6" borderId="3" xfId="2" applyNumberFormat="1" applyFont="1" applyFill="1" applyBorder="1"/>
    <xf numFmtId="166" fontId="9" fillId="2" borderId="3" xfId="2" applyNumberFormat="1" applyFont="1" applyFill="1" applyBorder="1"/>
    <xf numFmtId="170" fontId="9" fillId="2" borderId="0" xfId="6" applyNumberFormat="1" applyFont="1" applyFill="1"/>
    <xf numFmtId="170" fontId="9" fillId="2" borderId="3" xfId="6" applyNumberFormat="1" applyFont="1" applyFill="1" applyBorder="1"/>
    <xf numFmtId="166" fontId="22" fillId="4" borderId="0" xfId="2" applyNumberFormat="1" applyFont="1" applyFill="1"/>
    <xf numFmtId="9" fontId="22" fillId="2" borderId="0" xfId="4" applyFont="1" applyFill="1"/>
    <xf numFmtId="170" fontId="24" fillId="2" borderId="1" xfId="6" applyNumberFormat="1" applyFont="1" applyFill="1" applyBorder="1"/>
    <xf numFmtId="170" fontId="24" fillId="2" borderId="0" xfId="6" applyNumberFormat="1" applyFont="1" applyFill="1"/>
    <xf numFmtId="170" fontId="24" fillId="2" borderId="2" xfId="6" applyNumberFormat="1" applyFont="1" applyFill="1" applyBorder="1"/>
    <xf numFmtId="170" fontId="24" fillId="2" borderId="3" xfId="6" applyNumberFormat="1" applyFont="1" applyFill="1" applyBorder="1"/>
    <xf numFmtId="168" fontId="12" fillId="2" borderId="0" xfId="4" applyNumberFormat="1" applyFont="1" applyFill="1"/>
    <xf numFmtId="168" fontId="33" fillId="4" borderId="0" xfId="4" applyNumberFormat="1" applyFont="1" applyFill="1" applyBorder="1"/>
    <xf numFmtId="170" fontId="10" fillId="2" borderId="0" xfId="2" applyNumberFormat="1" applyFont="1" applyFill="1" applyBorder="1" applyAlignment="1">
      <alignment horizontal="center"/>
    </xf>
    <xf numFmtId="170" fontId="25" fillId="2" borderId="0" xfId="2" applyNumberFormat="1" applyFont="1" applyFill="1"/>
    <xf numFmtId="166" fontId="26" fillId="2" borderId="0" xfId="2" applyNumberFormat="1" applyFont="1" applyFill="1"/>
    <xf numFmtId="170" fontId="22" fillId="2" borderId="0" xfId="6" applyNumberFormat="1" applyFont="1" applyFill="1"/>
    <xf numFmtId="170" fontId="26" fillId="2" borderId="0" xfId="6" applyNumberFormat="1" applyFont="1" applyFill="1"/>
    <xf numFmtId="166" fontId="22" fillId="2" borderId="1" xfId="2" applyNumberFormat="1" applyFont="1" applyFill="1" applyBorder="1"/>
    <xf numFmtId="166" fontId="39" fillId="2" borderId="2" xfId="2" applyNumberFormat="1" applyFont="1" applyFill="1" applyBorder="1"/>
    <xf numFmtId="164" fontId="10" fillId="2" borderId="0" xfId="2" applyFont="1" applyFill="1"/>
    <xf numFmtId="170" fontId="9" fillId="6" borderId="3" xfId="6" applyNumberFormat="1" applyFont="1" applyFill="1" applyBorder="1"/>
    <xf numFmtId="166" fontId="9" fillId="6" borderId="3" xfId="2" applyNumberFormat="1" applyFont="1" applyFill="1" applyBorder="1"/>
    <xf numFmtId="9" fontId="35" fillId="6" borderId="3" xfId="4" applyFont="1" applyFill="1" applyBorder="1"/>
    <xf numFmtId="168" fontId="35" fillId="6" borderId="3" xfId="4" applyNumberFormat="1" applyFont="1" applyFill="1" applyBorder="1"/>
    <xf numFmtId="166" fontId="6" fillId="2" borderId="1" xfId="2" applyNumberFormat="1" applyFont="1" applyFill="1" applyBorder="1"/>
    <xf numFmtId="169" fontId="33" fillId="2" borderId="0" xfId="2" applyNumberFormat="1" applyFont="1" applyFill="1"/>
    <xf numFmtId="168" fontId="33" fillId="4" borderId="0" xfId="4" applyNumberFormat="1" applyFont="1" applyFill="1" applyBorder="1" applyAlignment="1">
      <alignment horizontal="right"/>
    </xf>
    <xf numFmtId="166" fontId="33" fillId="4" borderId="0" xfId="2" applyNumberFormat="1" applyFont="1" applyFill="1" applyBorder="1"/>
    <xf numFmtId="166" fontId="5" fillId="4" borderId="1" xfId="2" applyNumberFormat="1" applyFont="1" applyFill="1" applyBorder="1" applyAlignment="1">
      <alignment horizontal="center"/>
    </xf>
    <xf numFmtId="170" fontId="12" fillId="2" borderId="0" xfId="6" applyNumberFormat="1" applyFont="1" applyFill="1"/>
    <xf numFmtId="168" fontId="39" fillId="9" borderId="0" xfId="4" applyNumberFormat="1" applyFont="1" applyFill="1"/>
    <xf numFmtId="168" fontId="12" fillId="9" borderId="0" xfId="4" applyNumberFormat="1" applyFont="1" applyFill="1"/>
    <xf numFmtId="168" fontId="22" fillId="9" borderId="0" xfId="4" applyNumberFormat="1" applyFont="1" applyFill="1"/>
    <xf numFmtId="166" fontId="10" fillId="2" borderId="5" xfId="2" applyNumberFormat="1" applyFont="1" applyFill="1" applyBorder="1"/>
    <xf numFmtId="166" fontId="40" fillId="2" borderId="0" xfId="2" applyNumberFormat="1" applyFont="1" applyFill="1"/>
    <xf numFmtId="170" fontId="40" fillId="2" borderId="0" xfId="6" applyNumberFormat="1" applyFont="1" applyFill="1"/>
    <xf numFmtId="166" fontId="9" fillId="14" borderId="1" xfId="2" applyNumberFormat="1" applyFont="1" applyFill="1" applyBorder="1"/>
    <xf numFmtId="166" fontId="9" fillId="14" borderId="2" xfId="2" applyNumberFormat="1" applyFont="1" applyFill="1" applyBorder="1"/>
    <xf numFmtId="9" fontId="10" fillId="14" borderId="5" xfId="4" applyNumberFormat="1" applyFont="1" applyFill="1" applyBorder="1"/>
    <xf numFmtId="166" fontId="10" fillId="14" borderId="5" xfId="2" applyNumberFormat="1" applyFont="1" applyFill="1" applyBorder="1"/>
    <xf numFmtId="164" fontId="10" fillId="14" borderId="1" xfId="2" applyFont="1" applyFill="1" applyBorder="1"/>
    <xf numFmtId="168" fontId="10" fillId="14" borderId="1" xfId="4" applyNumberFormat="1" applyFont="1" applyFill="1" applyBorder="1"/>
    <xf numFmtId="166" fontId="10" fillId="14" borderId="0" xfId="2" applyNumberFormat="1" applyFont="1" applyFill="1" applyBorder="1"/>
    <xf numFmtId="166" fontId="10" fillId="14" borderId="2" xfId="2" applyNumberFormat="1" applyFont="1" applyFill="1" applyBorder="1"/>
    <xf numFmtId="9" fontId="10" fillId="14" borderId="0" xfId="4" applyFont="1" applyFill="1" applyBorder="1"/>
    <xf numFmtId="9" fontId="19" fillId="2" borderId="0" xfId="4" applyFont="1" applyFill="1"/>
    <xf numFmtId="166" fontId="41" fillId="4" borderId="1" xfId="2" applyNumberFormat="1" applyFont="1" applyFill="1" applyBorder="1"/>
    <xf numFmtId="166" fontId="41" fillId="4" borderId="0" xfId="2" applyNumberFormat="1" applyFont="1" applyFill="1" applyBorder="1"/>
    <xf numFmtId="166" fontId="4" fillId="4" borderId="2" xfId="2" applyNumberFormat="1" applyFont="1" applyFill="1" applyBorder="1" applyAlignment="1">
      <alignment horizontal="center"/>
    </xf>
    <xf numFmtId="166" fontId="4" fillId="4" borderId="2" xfId="2" applyNumberFormat="1" applyFont="1" applyFill="1" applyBorder="1" applyAlignment="1">
      <alignment horizontal="left"/>
    </xf>
    <xf numFmtId="170" fontId="8" fillId="4" borderId="0" xfId="2" applyNumberFormat="1" applyFont="1" applyFill="1" applyBorder="1" applyAlignment="1">
      <alignment horizontal="center"/>
    </xf>
    <xf numFmtId="170" fontId="14" fillId="4" borderId="0" xfId="2" applyNumberFormat="1" applyFont="1" applyFill="1" applyBorder="1" applyAlignment="1">
      <alignment horizontal="left"/>
    </xf>
    <xf numFmtId="166" fontId="12" fillId="4" borderId="0" xfId="2" applyNumberFormat="1" applyFont="1" applyFill="1" applyBorder="1" applyAlignment="1">
      <alignment vertical="center"/>
    </xf>
    <xf numFmtId="166" fontId="43" fillId="2" borderId="3" xfId="2" applyNumberFormat="1" applyFont="1" applyFill="1" applyBorder="1"/>
    <xf numFmtId="170" fontId="14" fillId="4" borderId="0" xfId="6" applyNumberFormat="1" applyFont="1" applyFill="1"/>
    <xf numFmtId="166" fontId="24" fillId="4" borderId="1" xfId="2" applyNumberFormat="1" applyFont="1" applyFill="1" applyBorder="1" applyAlignment="1">
      <alignment vertical="center"/>
    </xf>
    <xf numFmtId="166" fontId="24" fillId="4" borderId="6" xfId="2" applyNumberFormat="1" applyFont="1" applyFill="1" applyBorder="1" applyAlignment="1">
      <alignment vertical="center"/>
    </xf>
    <xf numFmtId="166" fontId="41" fillId="4" borderId="6" xfId="2" applyNumberFormat="1" applyFont="1" applyFill="1" applyBorder="1"/>
    <xf numFmtId="170" fontId="41" fillId="4" borderId="2" xfId="2" applyNumberFormat="1" applyFont="1" applyFill="1" applyBorder="1"/>
    <xf numFmtId="166" fontId="43" fillId="4" borderId="2" xfId="2" applyNumberFormat="1" applyFont="1" applyFill="1" applyBorder="1"/>
    <xf numFmtId="166" fontId="10" fillId="9" borderId="3" xfId="2" applyNumberFormat="1" applyFont="1" applyFill="1" applyBorder="1" applyAlignment="1">
      <alignment horizontal="center"/>
    </xf>
    <xf numFmtId="166" fontId="10" fillId="2" borderId="3" xfId="2" applyNumberFormat="1" applyFont="1" applyFill="1" applyBorder="1"/>
    <xf numFmtId="166" fontId="38" fillId="14" borderId="2" xfId="2" applyNumberFormat="1" applyFont="1" applyFill="1" applyBorder="1"/>
    <xf numFmtId="166" fontId="38" fillId="14" borderId="0" xfId="2" applyNumberFormat="1" applyFont="1" applyFill="1" applyBorder="1"/>
    <xf numFmtId="170" fontId="8" fillId="2" borderId="0" xfId="2" applyNumberFormat="1" applyFont="1" applyFill="1" applyAlignment="1">
      <alignment horizontal="center"/>
    </xf>
    <xf numFmtId="170" fontId="7" fillId="2" borderId="0" xfId="2" applyNumberFormat="1" applyFont="1" applyFill="1"/>
    <xf numFmtId="164" fontId="8" fillId="2" borderId="1" xfId="2" applyNumberFormat="1" applyFont="1" applyFill="1" applyBorder="1"/>
    <xf numFmtId="166" fontId="23" fillId="2" borderId="0" xfId="2" applyNumberFormat="1" applyFont="1" applyFill="1"/>
    <xf numFmtId="9" fontId="14" fillId="4" borderId="0" xfId="4" applyFont="1" applyFill="1" applyBorder="1"/>
    <xf numFmtId="170" fontId="10" fillId="15" borderId="4" xfId="6" applyNumberFormat="1" applyFont="1" applyFill="1" applyBorder="1"/>
    <xf numFmtId="166" fontId="10" fillId="15" borderId="4" xfId="2" applyNumberFormat="1" applyFont="1" applyFill="1" applyBorder="1"/>
    <xf numFmtId="170" fontId="23" fillId="4" borderId="0" xfId="2" applyNumberFormat="1" applyFont="1" applyFill="1" applyBorder="1"/>
    <xf numFmtId="170" fontId="23" fillId="4" borderId="0" xfId="2" applyNumberFormat="1" applyFont="1" applyFill="1" applyBorder="1" applyAlignment="1">
      <alignment horizontal="left"/>
    </xf>
    <xf numFmtId="166" fontId="14" fillId="4" borderId="0" xfId="2" applyNumberFormat="1" applyFont="1" applyFill="1"/>
    <xf numFmtId="170" fontId="14" fillId="2" borderId="0" xfId="2" applyNumberFormat="1" applyFont="1" applyFill="1" applyAlignment="1">
      <alignment horizontal="right"/>
    </xf>
    <xf numFmtId="170" fontId="14" fillId="4" borderId="0" xfId="2" applyNumberFormat="1" applyFont="1" applyFill="1" applyBorder="1" applyAlignment="1">
      <alignment horizontal="right"/>
    </xf>
    <xf numFmtId="166" fontId="14" fillId="4" borderId="0" xfId="2" applyNumberFormat="1" applyFont="1" applyFill="1" applyBorder="1" applyAlignment="1">
      <alignment horizontal="center"/>
    </xf>
    <xf numFmtId="170" fontId="10" fillId="2" borderId="0" xfId="6" applyNumberFormat="1" applyFont="1" applyFill="1"/>
    <xf numFmtId="166" fontId="46" fillId="4" borderId="0" xfId="10" applyNumberFormat="1" applyFont="1" applyFill="1"/>
    <xf numFmtId="170" fontId="8" fillId="16" borderId="0" xfId="2" applyNumberFormat="1" applyFont="1" applyFill="1"/>
    <xf numFmtId="170" fontId="8" fillId="13" borderId="0" xfId="2" applyNumberFormat="1" applyFont="1" applyFill="1"/>
    <xf numFmtId="170" fontId="5" fillId="16" borderId="0" xfId="2" applyNumberFormat="1" applyFont="1" applyFill="1" applyAlignment="1">
      <alignment horizontal="center"/>
    </xf>
    <xf numFmtId="170" fontId="5" fillId="2" borderId="0" xfId="2" applyNumberFormat="1" applyFont="1" applyFill="1"/>
    <xf numFmtId="170" fontId="5" fillId="2" borderId="0" xfId="2" applyNumberFormat="1" applyFont="1" applyFill="1" applyAlignment="1">
      <alignment horizontal="center"/>
    </xf>
    <xf numFmtId="170" fontId="5" fillId="2" borderId="3" xfId="2" applyNumberFormat="1" applyFont="1" applyFill="1" applyBorder="1"/>
    <xf numFmtId="0" fontId="5" fillId="2" borderId="3" xfId="2" applyNumberFormat="1" applyFont="1" applyFill="1" applyBorder="1" applyAlignment="1">
      <alignment horizontal="center"/>
    </xf>
    <xf numFmtId="170" fontId="5" fillId="2" borderId="3" xfId="2" applyNumberFormat="1" applyFont="1" applyFill="1" applyBorder="1" applyAlignment="1">
      <alignment horizontal="center"/>
    </xf>
    <xf numFmtId="170" fontId="8" fillId="2" borderId="3" xfId="2" applyNumberFormat="1" applyFont="1" applyFill="1" applyBorder="1"/>
    <xf numFmtId="170" fontId="5" fillId="2" borderId="8" xfId="2" applyNumberFormat="1" applyFont="1" applyFill="1" applyBorder="1" applyAlignment="1">
      <alignment horizontal="right"/>
    </xf>
    <xf numFmtId="170" fontId="5" fillId="15" borderId="8" xfId="2" applyNumberFormat="1" applyFont="1" applyFill="1" applyBorder="1" applyAlignment="1">
      <alignment horizontal="center"/>
    </xf>
    <xf numFmtId="170" fontId="5" fillId="17" borderId="8" xfId="2" applyNumberFormat="1" applyFont="1" applyFill="1" applyBorder="1" applyAlignment="1">
      <alignment horizontal="center"/>
    </xf>
    <xf numFmtId="170" fontId="5" fillId="13" borderId="8" xfId="2" applyNumberFormat="1" applyFont="1" applyFill="1" applyBorder="1" applyAlignment="1">
      <alignment horizontal="center"/>
    </xf>
    <xf numFmtId="170" fontId="5" fillId="2" borderId="8" xfId="2" applyNumberFormat="1" applyFont="1" applyFill="1" applyBorder="1" applyAlignment="1">
      <alignment horizontal="center"/>
    </xf>
    <xf numFmtId="170" fontId="7" fillId="2" borderId="8" xfId="2" applyNumberFormat="1" applyFont="1" applyFill="1" applyBorder="1"/>
    <xf numFmtId="170" fontId="5" fillId="2" borderId="8" xfId="2" applyNumberFormat="1" applyFont="1" applyFill="1" applyBorder="1"/>
    <xf numFmtId="170" fontId="5" fillId="2" borderId="9" xfId="2" applyNumberFormat="1" applyFont="1" applyFill="1" applyBorder="1" applyAlignment="1">
      <alignment horizontal="right"/>
    </xf>
    <xf numFmtId="170" fontId="5" fillId="15" borderId="9" xfId="2" applyNumberFormat="1" applyFont="1" applyFill="1" applyBorder="1" applyAlignment="1">
      <alignment horizontal="center"/>
    </xf>
    <xf numFmtId="170" fontId="5" fillId="17" borderId="9" xfId="2" applyNumberFormat="1" applyFont="1" applyFill="1" applyBorder="1" applyAlignment="1">
      <alignment horizontal="center"/>
    </xf>
    <xf numFmtId="170" fontId="5" fillId="13" borderId="9" xfId="2" applyNumberFormat="1" applyFont="1" applyFill="1" applyBorder="1" applyAlignment="1">
      <alignment horizontal="center"/>
    </xf>
    <xf numFmtId="170" fontId="5" fillId="2" borderId="9" xfId="2" applyNumberFormat="1" applyFont="1" applyFill="1" applyBorder="1" applyAlignment="1">
      <alignment horizontal="center"/>
    </xf>
    <xf numFmtId="170" fontId="7" fillId="2" borderId="9" xfId="2" applyNumberFormat="1" applyFont="1" applyFill="1" applyBorder="1"/>
    <xf numFmtId="170" fontId="5" fillId="2" borderId="9" xfId="2" applyNumberFormat="1" applyFont="1" applyFill="1" applyBorder="1"/>
    <xf numFmtId="170" fontId="5" fillId="2" borderId="10" xfId="2" applyNumberFormat="1" applyFont="1" applyFill="1" applyBorder="1" applyAlignment="1">
      <alignment horizontal="right"/>
    </xf>
    <xf numFmtId="170" fontId="5" fillId="15" borderId="10" xfId="2" applyNumberFormat="1" applyFont="1" applyFill="1" applyBorder="1" applyAlignment="1">
      <alignment horizontal="center"/>
    </xf>
    <xf numFmtId="170" fontId="5" fillId="17" borderId="10" xfId="2" applyNumberFormat="1" applyFont="1" applyFill="1" applyBorder="1" applyAlignment="1">
      <alignment horizontal="center"/>
    </xf>
    <xf numFmtId="170" fontId="5" fillId="13" borderId="10" xfId="2" applyNumberFormat="1" applyFont="1" applyFill="1" applyBorder="1" applyAlignment="1">
      <alignment horizontal="center"/>
    </xf>
    <xf numFmtId="170" fontId="9" fillId="2" borderId="0" xfId="2" applyNumberFormat="1" applyFont="1" applyFill="1" applyAlignment="1">
      <alignment horizontal="right"/>
    </xf>
    <xf numFmtId="170" fontId="10" fillId="2" borderId="0" xfId="2" applyNumberFormat="1" applyFont="1" applyFill="1" applyAlignment="1">
      <alignment horizontal="right"/>
    </xf>
    <xf numFmtId="168" fontId="35" fillId="12" borderId="2" xfId="4" applyNumberFormat="1" applyFont="1" applyFill="1" applyBorder="1"/>
    <xf numFmtId="166" fontId="8" fillId="4" borderId="0" xfId="2" applyNumberFormat="1" applyFont="1" applyFill="1"/>
    <xf numFmtId="0" fontId="0" fillId="4" borderId="0" xfId="0" applyFill="1" applyBorder="1"/>
    <xf numFmtId="173" fontId="5" fillId="2" borderId="3" xfId="2" applyNumberFormat="1" applyFont="1" applyFill="1" applyBorder="1" applyAlignment="1">
      <alignment horizontal="center"/>
    </xf>
    <xf numFmtId="173" fontId="5" fillId="2" borderId="3" xfId="2" applyNumberFormat="1" applyFont="1" applyFill="1" applyBorder="1"/>
    <xf numFmtId="166" fontId="8" fillId="2" borderId="0" xfId="2" applyNumberFormat="1" applyFont="1" applyFill="1" applyBorder="1" applyAlignment="1"/>
    <xf numFmtId="170" fontId="8" fillId="2" borderId="0" xfId="2" applyNumberFormat="1" applyFont="1" applyFill="1" applyAlignment="1"/>
    <xf numFmtId="164" fontId="4" fillId="2" borderId="0" xfId="2" applyNumberFormat="1" applyFont="1" applyFill="1" applyBorder="1"/>
    <xf numFmtId="164" fontId="4" fillId="2" borderId="2" xfId="2" applyNumberFormat="1" applyFont="1" applyFill="1" applyBorder="1"/>
    <xf numFmtId="166" fontId="34" fillId="4" borderId="1" xfId="2" applyNumberFormat="1" applyFont="1" applyFill="1" applyBorder="1"/>
    <xf numFmtId="166" fontId="8" fillId="2" borderId="7" xfId="2" applyNumberFormat="1" applyFont="1" applyFill="1" applyBorder="1"/>
    <xf numFmtId="166" fontId="4" fillId="2" borderId="7" xfId="2" applyNumberFormat="1" applyFont="1" applyFill="1" applyBorder="1"/>
    <xf numFmtId="164" fontId="34" fillId="5" borderId="1" xfId="2" applyNumberFormat="1" applyFont="1" applyFill="1" applyBorder="1"/>
    <xf numFmtId="164" fontId="4" fillId="4" borderId="7" xfId="2" applyNumberFormat="1" applyFont="1" applyFill="1" applyBorder="1"/>
    <xf numFmtId="164" fontId="34" fillId="4" borderId="0" xfId="2" applyNumberFormat="1" applyFont="1" applyFill="1" applyBorder="1"/>
    <xf numFmtId="9" fontId="14" fillId="2" borderId="0" xfId="4" applyFont="1" applyFill="1" applyBorder="1"/>
    <xf numFmtId="170" fontId="8" fillId="2" borderId="1" xfId="2" applyNumberFormat="1" applyFont="1" applyFill="1" applyBorder="1"/>
    <xf numFmtId="170" fontId="34" fillId="4" borderId="0" xfId="2" applyNumberFormat="1" applyFont="1" applyFill="1" applyBorder="1" applyAlignment="1">
      <alignment horizontal="center"/>
    </xf>
    <xf numFmtId="166" fontId="4" fillId="4" borderId="0" xfId="2" applyNumberFormat="1" applyFont="1" applyFill="1" applyBorder="1" applyAlignment="1">
      <alignment horizontal="left"/>
    </xf>
    <xf numFmtId="165" fontId="34" fillId="7" borderId="1" xfId="2" applyNumberFormat="1" applyFont="1" applyFill="1" applyBorder="1"/>
    <xf numFmtId="170" fontId="4" fillId="7" borderId="1" xfId="2" applyNumberFormat="1" applyFont="1" applyFill="1" applyBorder="1"/>
    <xf numFmtId="165" fontId="34" fillId="7" borderId="0" xfId="2" applyNumberFormat="1" applyFont="1" applyFill="1" applyBorder="1"/>
    <xf numFmtId="170" fontId="4" fillId="7" borderId="0" xfId="2" applyNumberFormat="1" applyFont="1" applyFill="1" applyBorder="1"/>
    <xf numFmtId="165" fontId="34" fillId="7" borderId="2" xfId="2" applyNumberFormat="1" applyFont="1" applyFill="1" applyBorder="1"/>
    <xf numFmtId="170" fontId="4" fillId="7" borderId="2" xfId="2" applyNumberFormat="1" applyFont="1" applyFill="1" applyBorder="1"/>
    <xf numFmtId="170" fontId="34" fillId="18" borderId="1" xfId="2" applyNumberFormat="1" applyFont="1" applyFill="1" applyBorder="1"/>
    <xf numFmtId="170" fontId="34" fillId="18" borderId="0" xfId="2" applyNumberFormat="1" applyFont="1" applyFill="1" applyBorder="1"/>
    <xf numFmtId="170" fontId="34" fillId="18" borderId="2" xfId="2" applyNumberFormat="1" applyFont="1" applyFill="1" applyBorder="1"/>
    <xf numFmtId="170" fontId="5" fillId="2" borderId="0" xfId="2" applyNumberFormat="1" applyFont="1" applyFill="1" applyAlignment="1">
      <alignment horizontal="left"/>
    </xf>
    <xf numFmtId="170" fontId="5" fillId="2" borderId="1" xfId="2" applyNumberFormat="1" applyFont="1" applyFill="1" applyBorder="1" applyAlignment="1">
      <alignment horizontal="center"/>
    </xf>
    <xf numFmtId="170" fontId="5" fillId="2" borderId="2" xfId="2" applyNumberFormat="1" applyFont="1" applyFill="1" applyBorder="1" applyAlignment="1">
      <alignment horizontal="center"/>
    </xf>
    <xf numFmtId="170" fontId="4" fillId="2" borderId="6" xfId="2" applyNumberFormat="1" applyFont="1" applyFill="1" applyBorder="1"/>
    <xf numFmtId="170" fontId="4" fillId="2" borderId="7" xfId="2" applyNumberFormat="1" applyFont="1" applyFill="1" applyBorder="1"/>
    <xf numFmtId="166" fontId="14" fillId="2" borderId="1" xfId="2" applyNumberFormat="1" applyFont="1" applyFill="1" applyBorder="1"/>
    <xf numFmtId="170" fontId="6" fillId="2" borderId="1" xfId="2" applyNumberFormat="1" applyFont="1" applyFill="1" applyBorder="1"/>
    <xf numFmtId="164" fontId="14" fillId="2" borderId="1" xfId="2" applyNumberFormat="1" applyFont="1" applyFill="1" applyBorder="1"/>
    <xf numFmtId="164" fontId="14" fillId="2" borderId="0" xfId="2" applyNumberFormat="1" applyFont="1" applyFill="1" applyBorder="1"/>
    <xf numFmtId="164" fontId="14" fillId="4" borderId="7" xfId="2" applyNumberFormat="1" applyFont="1" applyFill="1" applyBorder="1"/>
    <xf numFmtId="166" fontId="22" fillId="2" borderId="0" xfId="2" applyNumberFormat="1" applyFont="1" applyFill="1" applyBorder="1"/>
    <xf numFmtId="166" fontId="5" fillId="15" borderId="0" xfId="2" applyNumberFormat="1" applyFont="1" applyFill="1" applyBorder="1"/>
    <xf numFmtId="166" fontId="5" fillId="7" borderId="3" xfId="2" applyNumberFormat="1" applyFont="1" applyFill="1" applyBorder="1"/>
    <xf numFmtId="165" fontId="8" fillId="2" borderId="0" xfId="2" applyNumberFormat="1" applyFont="1" applyFill="1"/>
    <xf numFmtId="166" fontId="5" fillId="15" borderId="3" xfId="2" applyNumberFormat="1" applyFont="1" applyFill="1" applyBorder="1"/>
    <xf numFmtId="170" fontId="10" fillId="6" borderId="2" xfId="6" applyNumberFormat="1" applyFont="1" applyFill="1" applyBorder="1" applyAlignment="1">
      <alignment horizontal="center"/>
    </xf>
    <xf numFmtId="166" fontId="5" fillId="6" borderId="3" xfId="2" applyNumberFormat="1" applyFont="1" applyFill="1" applyBorder="1"/>
    <xf numFmtId="166" fontId="5" fillId="9" borderId="2" xfId="2" applyNumberFormat="1" applyFont="1" applyFill="1" applyBorder="1" applyAlignment="1">
      <alignment horizontal="center"/>
    </xf>
    <xf numFmtId="166" fontId="5" fillId="8" borderId="3" xfId="2" applyNumberFormat="1" applyFont="1" applyFill="1" applyBorder="1"/>
    <xf numFmtId="166" fontId="5" fillId="6" borderId="0" xfId="2" applyNumberFormat="1" applyFont="1" applyFill="1" applyBorder="1"/>
    <xf numFmtId="166" fontId="9" fillId="6" borderId="0" xfId="2" applyNumberFormat="1" applyFont="1" applyFill="1" applyBorder="1"/>
    <xf numFmtId="166" fontId="35" fillId="6" borderId="0" xfId="2" applyNumberFormat="1" applyFont="1" applyFill="1" applyBorder="1"/>
    <xf numFmtId="166" fontId="4" fillId="6" borderId="0" xfId="2" applyNumberFormat="1" applyFont="1" applyFill="1" applyBorder="1"/>
    <xf numFmtId="166" fontId="9" fillId="7" borderId="1" xfId="2" applyNumberFormat="1" applyFont="1" applyFill="1" applyBorder="1"/>
    <xf numFmtId="166" fontId="9" fillId="7" borderId="2" xfId="2" applyNumberFormat="1" applyFont="1" applyFill="1" applyBorder="1"/>
    <xf numFmtId="166" fontId="35" fillId="7" borderId="2" xfId="2" applyNumberFormat="1" applyFont="1" applyFill="1" applyBorder="1"/>
    <xf numFmtId="168" fontId="35" fillId="7" borderId="3" xfId="4" applyNumberFormat="1" applyFont="1" applyFill="1" applyBorder="1"/>
    <xf numFmtId="166" fontId="9" fillId="7" borderId="3" xfId="2" applyNumberFormat="1" applyFont="1" applyFill="1" applyBorder="1"/>
    <xf numFmtId="174" fontId="7" fillId="2" borderId="0" xfId="2" applyNumberFormat="1" applyFont="1" applyFill="1" applyBorder="1"/>
    <xf numFmtId="166" fontId="42" fillId="2" borderId="0" xfId="2" applyNumberFormat="1" applyFont="1" applyFill="1" applyBorder="1" applyAlignment="1">
      <alignment horizontal="center"/>
    </xf>
    <xf numFmtId="166" fontId="42" fillId="2" borderId="0" xfId="2" applyNumberFormat="1" applyFont="1" applyFill="1" applyBorder="1"/>
    <xf numFmtId="170" fontId="14" fillId="4" borderId="0" xfId="2" applyNumberFormat="1" applyFont="1" applyFill="1"/>
    <xf numFmtId="166" fontId="10" fillId="2" borderId="1" xfId="2" applyNumberFormat="1" applyFont="1" applyFill="1" applyBorder="1" applyAlignment="1">
      <alignment horizontal="center"/>
    </xf>
    <xf numFmtId="166" fontId="10" fillId="2" borderId="2" xfId="2" applyNumberFormat="1" applyFont="1" applyFill="1" applyBorder="1"/>
    <xf numFmtId="166" fontId="10" fillId="15" borderId="3" xfId="2" applyNumberFormat="1" applyFont="1" applyFill="1" applyBorder="1" applyAlignment="1">
      <alignment horizontal="center"/>
    </xf>
    <xf numFmtId="166" fontId="10" fillId="15" borderId="3" xfId="2" applyNumberFormat="1" applyFont="1" applyFill="1" applyBorder="1"/>
    <xf numFmtId="166" fontId="10" fillId="6" borderId="3" xfId="2" applyNumberFormat="1" applyFont="1" applyFill="1" applyBorder="1" applyAlignment="1">
      <alignment horizontal="center"/>
    </xf>
    <xf numFmtId="166" fontId="10" fillId="7" borderId="3" xfId="2" applyNumberFormat="1" applyFont="1" applyFill="1" applyBorder="1"/>
    <xf numFmtId="170" fontId="5" fillId="8" borderId="3" xfId="2" applyNumberFormat="1" applyFont="1" applyFill="1" applyBorder="1" applyAlignment="1">
      <alignment horizontal="center"/>
    </xf>
    <xf numFmtId="9" fontId="34" fillId="8" borderId="1" xfId="4" applyFont="1" applyFill="1" applyBorder="1"/>
    <xf numFmtId="9" fontId="34" fillId="8" borderId="0" xfId="4" applyFont="1" applyFill="1" applyBorder="1"/>
    <xf numFmtId="9" fontId="4" fillId="8" borderId="2" xfId="4" applyFont="1" applyFill="1" applyBorder="1"/>
    <xf numFmtId="9" fontId="5" fillId="8" borderId="3" xfId="4" applyFont="1" applyFill="1" applyBorder="1"/>
    <xf numFmtId="170" fontId="5" fillId="7" borderId="2" xfId="2" applyNumberFormat="1" applyFont="1" applyFill="1" applyBorder="1" applyAlignment="1">
      <alignment horizontal="center"/>
    </xf>
    <xf numFmtId="170" fontId="8" fillId="7" borderId="0" xfId="2" applyNumberFormat="1" applyFont="1" applyFill="1"/>
    <xf numFmtId="170" fontId="5" fillId="6" borderId="2" xfId="2" applyNumberFormat="1" applyFont="1" applyFill="1" applyBorder="1" applyAlignment="1">
      <alignment horizontal="center"/>
    </xf>
    <xf numFmtId="170" fontId="8" fillId="6" borderId="0" xfId="2" applyNumberFormat="1" applyFont="1" applyFill="1"/>
    <xf numFmtId="170" fontId="8" fillId="6" borderId="6" xfId="2" applyNumberFormat="1" applyFont="1" applyFill="1" applyBorder="1"/>
    <xf numFmtId="170" fontId="8" fillId="6" borderId="0" xfId="2" applyNumberFormat="1" applyFont="1" applyFill="1" applyBorder="1"/>
    <xf numFmtId="170" fontId="8" fillId="6" borderId="7" xfId="2" applyNumberFormat="1" applyFont="1" applyFill="1" applyBorder="1"/>
    <xf numFmtId="170" fontId="9" fillId="4" borderId="1" xfId="2" applyNumberFormat="1" applyFont="1" applyFill="1" applyBorder="1" applyAlignment="1">
      <alignment horizontal="right"/>
    </xf>
    <xf numFmtId="170" fontId="24" fillId="4" borderId="0" xfId="2" applyNumberFormat="1" applyFont="1" applyFill="1" applyBorder="1" applyAlignment="1">
      <alignment horizontal="right"/>
    </xf>
    <xf numFmtId="170" fontId="47" fillId="4" borderId="0" xfId="2" applyNumberFormat="1" applyFont="1" applyFill="1"/>
    <xf numFmtId="170" fontId="9" fillId="4" borderId="2" xfId="2" applyNumberFormat="1" applyFont="1" applyFill="1" applyBorder="1" applyAlignment="1">
      <alignment horizontal="right"/>
    </xf>
    <xf numFmtId="170" fontId="26" fillId="4" borderId="0" xfId="2" applyNumberFormat="1" applyFont="1" applyFill="1"/>
    <xf numFmtId="170" fontId="9" fillId="4" borderId="0" xfId="2" applyNumberFormat="1" applyFont="1" applyFill="1"/>
    <xf numFmtId="170" fontId="10" fillId="7" borderId="3" xfId="2" applyNumberFormat="1" applyFont="1" applyFill="1" applyBorder="1" applyAlignment="1">
      <alignment horizontal="center"/>
    </xf>
    <xf numFmtId="9" fontId="47" fillId="7" borderId="1" xfId="4" applyFont="1" applyFill="1" applyBorder="1"/>
    <xf numFmtId="9" fontId="47" fillId="7" borderId="0" xfId="4" applyFont="1" applyFill="1" applyBorder="1"/>
    <xf numFmtId="9" fontId="47" fillId="7" borderId="2" xfId="4" applyFont="1" applyFill="1" applyBorder="1"/>
    <xf numFmtId="168" fontId="35" fillId="7" borderId="2" xfId="4" applyNumberFormat="1" applyFont="1" applyFill="1" applyBorder="1"/>
    <xf numFmtId="170" fontId="10" fillId="8" borderId="3" xfId="2" applyNumberFormat="1" applyFont="1" applyFill="1" applyBorder="1" applyAlignment="1">
      <alignment horizontal="center"/>
    </xf>
    <xf numFmtId="9" fontId="47" fillId="8" borderId="0" xfId="4" applyFont="1" applyFill="1" applyBorder="1"/>
    <xf numFmtId="170" fontId="47" fillId="8" borderId="0" xfId="2" applyNumberFormat="1" applyFont="1" applyFill="1"/>
    <xf numFmtId="9" fontId="47" fillId="8" borderId="2" xfId="4" applyFont="1" applyFill="1" applyBorder="1"/>
    <xf numFmtId="170" fontId="9" fillId="8" borderId="2" xfId="2" applyNumberFormat="1" applyFont="1" applyFill="1" applyBorder="1" applyAlignment="1">
      <alignment horizontal="right"/>
    </xf>
    <xf numFmtId="166" fontId="6" fillId="9" borderId="0" xfId="2" applyNumberFormat="1" applyFont="1" applyFill="1" applyBorder="1"/>
    <xf numFmtId="166" fontId="6" fillId="9" borderId="2" xfId="2" applyNumberFormat="1" applyFont="1" applyFill="1" applyBorder="1"/>
    <xf numFmtId="166" fontId="6" fillId="2" borderId="0" xfId="2" applyNumberFormat="1" applyFont="1" applyFill="1"/>
    <xf numFmtId="168" fontId="48" fillId="2" borderId="0" xfId="4" applyNumberFormat="1" applyFont="1" applyFill="1" applyBorder="1" applyAlignment="1">
      <alignment horizontal="left"/>
    </xf>
    <xf numFmtId="166" fontId="6" fillId="6" borderId="0" xfId="2" applyNumberFormat="1" applyFont="1" applyFill="1" applyBorder="1"/>
    <xf numFmtId="166" fontId="6" fillId="15" borderId="0" xfId="2" applyNumberFormat="1" applyFont="1" applyFill="1" applyBorder="1"/>
    <xf numFmtId="166" fontId="4" fillId="6" borderId="1" xfId="2" applyNumberFormat="1" applyFont="1" applyFill="1" applyBorder="1"/>
    <xf numFmtId="166" fontId="4" fillId="6" borderId="2" xfId="2" applyNumberFormat="1" applyFont="1" applyFill="1" applyBorder="1"/>
    <xf numFmtId="168" fontId="9" fillId="7" borderId="1" xfId="4" applyNumberFormat="1" applyFont="1" applyFill="1" applyBorder="1"/>
    <xf numFmtId="166" fontId="22" fillId="2" borderId="0" xfId="2" applyNumberFormat="1" applyFont="1" applyFill="1" applyAlignment="1">
      <alignment horizontal="right"/>
    </xf>
    <xf numFmtId="170" fontId="9" fillId="2" borderId="1" xfId="2" applyNumberFormat="1" applyFont="1" applyFill="1" applyBorder="1" applyAlignment="1">
      <alignment horizontal="right"/>
    </xf>
    <xf numFmtId="170" fontId="9" fillId="2" borderId="2" xfId="2" applyNumberFormat="1" applyFont="1" applyFill="1" applyBorder="1" applyAlignment="1">
      <alignment horizontal="right"/>
    </xf>
    <xf numFmtId="168" fontId="9" fillId="8" borderId="1" xfId="4" applyNumberFormat="1" applyFont="1" applyFill="1" applyBorder="1"/>
    <xf numFmtId="166" fontId="41" fillId="2" borderId="3" xfId="2" applyNumberFormat="1" applyFont="1" applyFill="1" applyBorder="1"/>
    <xf numFmtId="166" fontId="24" fillId="4" borderId="3" xfId="6" applyNumberFormat="1" applyFont="1" applyFill="1" applyBorder="1" applyAlignment="1">
      <alignment vertical="center"/>
    </xf>
    <xf numFmtId="168" fontId="24" fillId="4" borderId="3" xfId="7" applyNumberFormat="1" applyFont="1" applyFill="1" applyBorder="1" applyAlignment="1">
      <alignment vertical="center"/>
    </xf>
    <xf numFmtId="166" fontId="24" fillId="4" borderId="3" xfId="6" applyNumberFormat="1" applyFont="1" applyFill="1" applyBorder="1"/>
    <xf numFmtId="170" fontId="24" fillId="4" borderId="3" xfId="6" applyNumberFormat="1" applyFont="1" applyFill="1" applyBorder="1"/>
    <xf numFmtId="174" fontId="41" fillId="2" borderId="3" xfId="2" applyNumberFormat="1" applyFont="1" applyFill="1" applyBorder="1"/>
    <xf numFmtId="166" fontId="14" fillId="2" borderId="0" xfId="2" applyNumberFormat="1" applyFont="1" applyFill="1"/>
    <xf numFmtId="166" fontId="14" fillId="2" borderId="0" xfId="2" applyNumberFormat="1" applyFont="1" applyFill="1" applyAlignment="1">
      <alignment horizontal="right"/>
    </xf>
    <xf numFmtId="168" fontId="22" fillId="7" borderId="3" xfId="4" applyNumberFormat="1" applyFont="1" applyFill="1" applyBorder="1"/>
    <xf numFmtId="166" fontId="19" fillId="2" borderId="0" xfId="2" applyNumberFormat="1" applyFont="1" applyFill="1" applyBorder="1"/>
    <xf numFmtId="166" fontId="33" fillId="2" borderId="0" xfId="2" applyNumberFormat="1" applyFont="1" applyFill="1" applyBorder="1"/>
    <xf numFmtId="166" fontId="19" fillId="4" borderId="0" xfId="2" applyNumberFormat="1" applyFont="1" applyFill="1" applyAlignment="1">
      <alignment horizontal="center"/>
    </xf>
    <xf numFmtId="166" fontId="12" fillId="2" borderId="0" xfId="2" applyNumberFormat="1" applyFont="1" applyFill="1"/>
    <xf numFmtId="166" fontId="12" fillId="4" borderId="0" xfId="2" applyNumberFormat="1" applyFont="1" applyFill="1"/>
    <xf numFmtId="166" fontId="12" fillId="2" borderId="0" xfId="2" applyNumberFormat="1" applyFont="1" applyFill="1" applyBorder="1"/>
    <xf numFmtId="166" fontId="22" fillId="2" borderId="2" xfId="2" applyNumberFormat="1" applyFont="1" applyFill="1" applyBorder="1"/>
    <xf numFmtId="166" fontId="9" fillId="13" borderId="1" xfId="2" applyNumberFormat="1" applyFont="1" applyFill="1" applyBorder="1"/>
    <xf numFmtId="166" fontId="24" fillId="2" borderId="1" xfId="2" applyNumberFormat="1" applyFont="1" applyFill="1" applyBorder="1"/>
    <xf numFmtId="166" fontId="24" fillId="2" borderId="0" xfId="2" applyNumberFormat="1" applyFont="1" applyFill="1"/>
    <xf numFmtId="166" fontId="24" fillId="2" borderId="2" xfId="2" applyNumberFormat="1" applyFont="1" applyFill="1" applyBorder="1"/>
    <xf numFmtId="166" fontId="24" fillId="13" borderId="2" xfId="2" applyNumberFormat="1" applyFont="1" applyFill="1" applyBorder="1"/>
    <xf numFmtId="166" fontId="24" fillId="2" borderId="3" xfId="2" applyNumberFormat="1" applyFont="1" applyFill="1" applyBorder="1"/>
    <xf numFmtId="166" fontId="22" fillId="4" borderId="1" xfId="2" applyNumberFormat="1" applyFont="1" applyFill="1" applyBorder="1"/>
    <xf numFmtId="166" fontId="9" fillId="4" borderId="1" xfId="2" applyNumberFormat="1" applyFont="1" applyFill="1" applyBorder="1" applyAlignment="1">
      <alignment horizontal="center"/>
    </xf>
    <xf numFmtId="166" fontId="25" fillId="2" borderId="0" xfId="2" applyNumberFormat="1" applyFont="1" applyFill="1"/>
    <xf numFmtId="166" fontId="13" fillId="2" borderId="0" xfId="2" applyNumberFormat="1" applyFont="1" applyFill="1"/>
    <xf numFmtId="166" fontId="12" fillId="4" borderId="0" xfId="2" applyNumberFormat="1" applyFont="1" applyFill="1" applyBorder="1"/>
    <xf numFmtId="166" fontId="24" fillId="2" borderId="0" xfId="2" applyNumberFormat="1" applyFont="1" applyFill="1" applyBorder="1"/>
    <xf numFmtId="166" fontId="10" fillId="2" borderId="0" xfId="2" applyNumberFormat="1" applyFont="1" applyFill="1" applyBorder="1"/>
    <xf numFmtId="166" fontId="49" fillId="4" borderId="0" xfId="2" applyNumberFormat="1" applyFont="1" applyFill="1"/>
    <xf numFmtId="174" fontId="9" fillId="4" borderId="0" xfId="2" applyNumberFormat="1" applyFont="1" applyFill="1"/>
    <xf numFmtId="166" fontId="45" fillId="2" borderId="0" xfId="2" applyNumberFormat="1" applyFont="1" applyFill="1"/>
    <xf numFmtId="166" fontId="4" fillId="4" borderId="2" xfId="2" applyNumberFormat="1" applyFont="1" applyFill="1" applyBorder="1"/>
    <xf numFmtId="170" fontId="14" fillId="2" borderId="1" xfId="6" applyNumberFormat="1" applyFont="1" applyFill="1" applyBorder="1"/>
    <xf numFmtId="166" fontId="4" fillId="4" borderId="0" xfId="2" applyNumberFormat="1" applyFont="1" applyFill="1" applyBorder="1" applyAlignment="1">
      <alignment horizontal="center"/>
    </xf>
    <xf numFmtId="170" fontId="34" fillId="6" borderId="0" xfId="2" applyNumberFormat="1" applyFont="1" applyFill="1"/>
    <xf numFmtId="170" fontId="34" fillId="6" borderId="6" xfId="2" applyNumberFormat="1" applyFont="1" applyFill="1" applyBorder="1"/>
    <xf numFmtId="170" fontId="34" fillId="6" borderId="0" xfId="2" applyNumberFormat="1" applyFont="1" applyFill="1" applyBorder="1"/>
    <xf numFmtId="170" fontId="34" fillId="6" borderId="7" xfId="2" applyNumberFormat="1" applyFont="1" applyFill="1" applyBorder="1"/>
    <xf numFmtId="170" fontId="34" fillId="7" borderId="6" xfId="2" applyNumberFormat="1" applyFont="1" applyFill="1" applyBorder="1"/>
    <xf numFmtId="170" fontId="34" fillId="7" borderId="0" xfId="2" applyNumberFormat="1" applyFont="1" applyFill="1" applyBorder="1"/>
    <xf numFmtId="170" fontId="34" fillId="7" borderId="7" xfId="2" applyNumberFormat="1" applyFont="1" applyFill="1" applyBorder="1"/>
    <xf numFmtId="170" fontId="34" fillId="7" borderId="0" xfId="2" applyNumberFormat="1" applyFont="1" applyFill="1"/>
    <xf numFmtId="164" fontId="10" fillId="4" borderId="1" xfId="2" applyFont="1" applyFill="1" applyBorder="1"/>
    <xf numFmtId="166" fontId="4" fillId="9" borderId="1" xfId="2" applyNumberFormat="1" applyFont="1" applyFill="1" applyBorder="1"/>
    <xf numFmtId="170" fontId="9" fillId="8" borderId="1" xfId="6" applyNumberFormat="1" applyFont="1" applyFill="1" applyBorder="1"/>
    <xf numFmtId="166" fontId="5" fillId="8" borderId="1" xfId="2" applyNumberFormat="1" applyFont="1" applyFill="1" applyBorder="1"/>
    <xf numFmtId="170" fontId="9" fillId="6" borderId="1" xfId="6" applyNumberFormat="1" applyFont="1" applyFill="1" applyBorder="1"/>
    <xf numFmtId="170" fontId="11" fillId="6" borderId="1" xfId="6" applyNumberFormat="1" applyFont="1" applyFill="1" applyBorder="1"/>
    <xf numFmtId="166" fontId="5" fillId="6" borderId="1" xfId="2" applyNumberFormat="1" applyFont="1" applyFill="1" applyBorder="1"/>
    <xf numFmtId="170" fontId="9" fillId="7" borderId="1" xfId="6" applyNumberFormat="1" applyFont="1" applyFill="1" applyBorder="1"/>
    <xf numFmtId="166" fontId="4" fillId="9" borderId="0" xfId="2" applyNumberFormat="1" applyFont="1" applyFill="1" applyBorder="1"/>
    <xf numFmtId="166" fontId="34" fillId="9" borderId="0" xfId="2" applyNumberFormat="1" applyFont="1" applyFill="1" applyBorder="1"/>
    <xf numFmtId="164" fontId="9" fillId="4" borderId="2" xfId="2" applyFont="1" applyFill="1" applyBorder="1" applyAlignment="1">
      <alignment horizontal="left"/>
    </xf>
    <xf numFmtId="166" fontId="4" fillId="9" borderId="2" xfId="2" applyNumberFormat="1" applyFont="1" applyFill="1" applyBorder="1"/>
    <xf numFmtId="166" fontId="34" fillId="9" borderId="2" xfId="2" applyNumberFormat="1" applyFont="1" applyFill="1" applyBorder="1"/>
    <xf numFmtId="166" fontId="9" fillId="8" borderId="2" xfId="2" applyNumberFormat="1" applyFont="1" applyFill="1" applyBorder="1"/>
    <xf numFmtId="166" fontId="35" fillId="8" borderId="2" xfId="2" applyNumberFormat="1" applyFont="1" applyFill="1" applyBorder="1"/>
    <xf numFmtId="166" fontId="4" fillId="8" borderId="2" xfId="2" applyNumberFormat="1" applyFont="1" applyFill="1" applyBorder="1"/>
    <xf numFmtId="166" fontId="9" fillId="6" borderId="2" xfId="2" applyNumberFormat="1" applyFont="1" applyFill="1" applyBorder="1"/>
    <xf numFmtId="166" fontId="4" fillId="7" borderId="3" xfId="2" applyNumberFormat="1" applyFont="1" applyFill="1" applyBorder="1"/>
    <xf numFmtId="166" fontId="34" fillId="6" borderId="3" xfId="2" applyNumberFormat="1" applyFont="1" applyFill="1" applyBorder="1"/>
    <xf numFmtId="166" fontId="4" fillId="8" borderId="3" xfId="2" applyNumberFormat="1" applyFont="1" applyFill="1" applyBorder="1"/>
    <xf numFmtId="166" fontId="4" fillId="9" borderId="3" xfId="2" applyNumberFormat="1" applyFont="1" applyFill="1" applyBorder="1"/>
    <xf numFmtId="166" fontId="34" fillId="5" borderId="0" xfId="2" applyNumberFormat="1" applyFont="1" applyFill="1" applyBorder="1" applyAlignment="1"/>
    <xf numFmtId="170" fontId="9" fillId="4" borderId="3" xfId="2" applyNumberFormat="1" applyFont="1" applyFill="1" applyBorder="1"/>
    <xf numFmtId="166" fontId="35" fillId="4" borderId="0" xfId="2" applyNumberFormat="1" applyFont="1" applyFill="1"/>
    <xf numFmtId="166" fontId="5" fillId="2" borderId="0" xfId="2" applyNumberFormat="1" applyFont="1" applyFill="1" applyBorder="1" applyAlignment="1">
      <alignment horizontal="center"/>
    </xf>
    <xf numFmtId="166" fontId="23" fillId="4" borderId="0" xfId="2" applyNumberFormat="1" applyFont="1" applyFill="1"/>
    <xf numFmtId="170" fontId="23" fillId="4" borderId="0" xfId="2" applyNumberFormat="1" applyFont="1" applyFill="1" applyBorder="1" applyAlignment="1">
      <alignment horizontal="right"/>
    </xf>
    <xf numFmtId="9" fontId="23" fillId="4" borderId="0" xfId="4" applyFont="1" applyFill="1" applyAlignment="1">
      <alignment horizontal="right"/>
    </xf>
    <xf numFmtId="166" fontId="4" fillId="19" borderId="1" xfId="2" applyNumberFormat="1" applyFont="1" applyFill="1" applyBorder="1"/>
    <xf numFmtId="166" fontId="5" fillId="19" borderId="1" xfId="2" applyNumberFormat="1" applyFont="1" applyFill="1" applyBorder="1"/>
    <xf numFmtId="166" fontId="4" fillId="19" borderId="0" xfId="2" applyNumberFormat="1" applyFont="1" applyFill="1" applyBorder="1"/>
    <xf numFmtId="166" fontId="5" fillId="19" borderId="0" xfId="2" applyNumberFormat="1" applyFont="1" applyFill="1" applyBorder="1"/>
    <xf numFmtId="168" fontId="4" fillId="19" borderId="0" xfId="4" applyNumberFormat="1" applyFont="1" applyFill="1" applyBorder="1"/>
    <xf numFmtId="166" fontId="4" fillId="19" borderId="2" xfId="2" applyNumberFormat="1" applyFont="1" applyFill="1" applyBorder="1"/>
    <xf numFmtId="166" fontId="5" fillId="19" borderId="2" xfId="2" applyNumberFormat="1" applyFont="1" applyFill="1" applyBorder="1"/>
    <xf numFmtId="168" fontId="34" fillId="19" borderId="2" xfId="4" applyNumberFormat="1" applyFont="1" applyFill="1" applyBorder="1"/>
    <xf numFmtId="166" fontId="5" fillId="19" borderId="3" xfId="2" applyNumberFormat="1" applyFont="1" applyFill="1" applyBorder="1"/>
    <xf numFmtId="168" fontId="4" fillId="19" borderId="1" xfId="4" applyNumberFormat="1" applyFont="1" applyFill="1" applyBorder="1"/>
    <xf numFmtId="168" fontId="4" fillId="19" borderId="2" xfId="4" applyNumberFormat="1" applyFont="1" applyFill="1" applyBorder="1"/>
    <xf numFmtId="166" fontId="5" fillId="19" borderId="5" xfId="2" applyNumberFormat="1" applyFont="1" applyFill="1" applyBorder="1"/>
    <xf numFmtId="166" fontId="4" fillId="15" borderId="3" xfId="2" applyNumberFormat="1" applyFont="1" applyFill="1" applyBorder="1"/>
    <xf numFmtId="166" fontId="4" fillId="8" borderId="1" xfId="2" applyNumberFormat="1" applyFont="1" applyFill="1" applyBorder="1"/>
    <xf numFmtId="166" fontId="4" fillId="15" borderId="1" xfId="2" applyNumberFormat="1" applyFont="1" applyFill="1" applyBorder="1"/>
    <xf numFmtId="168" fontId="4" fillId="8" borderId="0" xfId="4" applyNumberFormat="1" applyFont="1" applyFill="1" applyBorder="1"/>
    <xf numFmtId="168" fontId="4" fillId="15" borderId="0" xfId="4" applyNumberFormat="1" applyFont="1" applyFill="1" applyBorder="1"/>
    <xf numFmtId="168" fontId="4" fillId="9" borderId="0" xfId="4" applyNumberFormat="1" applyFont="1" applyFill="1" applyBorder="1"/>
    <xf numFmtId="166" fontId="4" fillId="15" borderId="2" xfId="2" applyNumberFormat="1" applyFont="1" applyFill="1" applyBorder="1"/>
    <xf numFmtId="166" fontId="34" fillId="8" borderId="3" xfId="2" applyNumberFormat="1" applyFont="1" applyFill="1" applyBorder="1"/>
    <xf numFmtId="166" fontId="34" fillId="9" borderId="3" xfId="2" applyNumberFormat="1" applyFont="1" applyFill="1" applyBorder="1"/>
    <xf numFmtId="166" fontId="34" fillId="15" borderId="2" xfId="2" applyNumberFormat="1" applyFont="1" applyFill="1" applyBorder="1"/>
    <xf numFmtId="168" fontId="14" fillId="2" borderId="0" xfId="4" applyNumberFormat="1" applyFont="1" applyFill="1"/>
    <xf numFmtId="170" fontId="50" fillId="2" borderId="0" xfId="2" applyNumberFormat="1" applyFont="1" applyFill="1"/>
    <xf numFmtId="170" fontId="50" fillId="2" borderId="0" xfId="2" applyNumberFormat="1" applyFont="1" applyFill="1" applyAlignment="1">
      <alignment horizontal="right"/>
    </xf>
    <xf numFmtId="170" fontId="10" fillId="7" borderId="3" xfId="6" applyNumberFormat="1" applyFont="1" applyFill="1" applyBorder="1" applyAlignment="1">
      <alignment horizontal="center"/>
    </xf>
    <xf numFmtId="170" fontId="5" fillId="6" borderId="3" xfId="2" applyNumberFormat="1" applyFont="1" applyFill="1" applyBorder="1" applyAlignment="1">
      <alignment horizontal="center"/>
    </xf>
    <xf numFmtId="170" fontId="5" fillId="7" borderId="3" xfId="2" applyNumberFormat="1" applyFont="1" applyFill="1" applyBorder="1" applyAlignment="1">
      <alignment horizontal="center"/>
    </xf>
    <xf numFmtId="166" fontId="5" fillId="9" borderId="3" xfId="2" applyNumberFormat="1" applyFont="1" applyFill="1" applyBorder="1" applyAlignment="1">
      <alignment horizontal="center"/>
    </xf>
    <xf numFmtId="170" fontId="10" fillId="8" borderId="3" xfId="6" applyNumberFormat="1" applyFont="1" applyFill="1" applyBorder="1" applyAlignment="1">
      <alignment horizontal="center"/>
    </xf>
    <xf numFmtId="170" fontId="10" fillId="6" borderId="3" xfId="6" applyNumberFormat="1" applyFont="1" applyFill="1" applyBorder="1" applyAlignment="1">
      <alignment horizontal="center"/>
    </xf>
    <xf numFmtId="0" fontId="52" fillId="20" borderId="0" xfId="0" applyFont="1" applyFill="1" applyAlignment="1">
      <alignment horizontal="left" vertical="center"/>
    </xf>
    <xf numFmtId="0" fontId="52" fillId="20" borderId="0" xfId="0" applyFont="1" applyFill="1" applyAlignment="1">
      <alignment horizontal="center" vertical="center"/>
    </xf>
    <xf numFmtId="0" fontId="52" fillId="21" borderId="0" xfId="0" applyFont="1" applyFill="1"/>
    <xf numFmtId="0" fontId="53" fillId="21" borderId="0" xfId="0" applyFont="1" applyFill="1"/>
    <xf numFmtId="0" fontId="54" fillId="22" borderId="0" xfId="0" applyFont="1" applyFill="1"/>
    <xf numFmtId="0" fontId="2" fillId="0" borderId="0" xfId="0" applyFont="1"/>
    <xf numFmtId="44" fontId="0" fillId="0" borderId="0" xfId="11" applyFont="1"/>
    <xf numFmtId="0" fontId="54" fillId="0" borderId="0" xfId="0" applyFont="1"/>
    <xf numFmtId="44" fontId="54" fillId="0" borderId="1" xfId="0" applyNumberFormat="1" applyFont="1" applyBorder="1"/>
    <xf numFmtId="0" fontId="54" fillId="19" borderId="3" xfId="0" applyFont="1" applyFill="1" applyBorder="1"/>
    <xf numFmtId="44" fontId="54" fillId="19" borderId="3" xfId="0" applyNumberFormat="1" applyFont="1" applyFill="1" applyBorder="1"/>
    <xf numFmtId="0" fontId="55" fillId="0" borderId="0" xfId="0" applyFont="1"/>
    <xf numFmtId="44" fontId="56" fillId="0" borderId="0" xfId="11" applyFont="1"/>
    <xf numFmtId="44" fontId="0" fillId="0" borderId="0" xfId="0" applyNumberFormat="1"/>
    <xf numFmtId="0" fontId="54" fillId="9" borderId="3" xfId="0" applyFont="1" applyFill="1" applyBorder="1"/>
    <xf numFmtId="44" fontId="54" fillId="9" borderId="3" xfId="0" applyNumberFormat="1" applyFont="1" applyFill="1" applyBorder="1"/>
    <xf numFmtId="0" fontId="54" fillId="0" borderId="1" xfId="0" applyFont="1" applyBorder="1"/>
    <xf numFmtId="9" fontId="0" fillId="0" borderId="0" xfId="0" applyNumberFormat="1"/>
    <xf numFmtId="44" fontId="54" fillId="9" borderId="3" xfId="11" applyFont="1" applyFill="1" applyBorder="1"/>
    <xf numFmtId="44" fontId="2" fillId="0" borderId="0" xfId="11" applyFont="1"/>
    <xf numFmtId="44" fontId="53" fillId="0" borderId="0" xfId="0" applyNumberFormat="1" applyFont="1"/>
    <xf numFmtId="44" fontId="57" fillId="22" borderId="0" xfId="11" applyFont="1" applyFill="1"/>
    <xf numFmtId="0" fontId="54" fillId="0" borderId="2" xfId="0" applyFont="1" applyBorder="1"/>
    <xf numFmtId="44" fontId="57" fillId="0" borderId="2" xfId="11" applyFont="1" applyBorder="1"/>
    <xf numFmtId="0" fontId="54" fillId="22" borderId="2" xfId="0" applyFont="1" applyFill="1" applyBorder="1"/>
    <xf numFmtId="170" fontId="13" fillId="23" borderId="1" xfId="2" applyNumberFormat="1" applyFont="1" applyFill="1" applyBorder="1" applyAlignment="1">
      <alignment horizontal="center"/>
    </xf>
    <xf numFmtId="1" fontId="13" fillId="23" borderId="2" xfId="2" applyNumberFormat="1" applyFont="1" applyFill="1" applyBorder="1" applyAlignment="1">
      <alignment horizontal="center"/>
    </xf>
    <xf numFmtId="170" fontId="13" fillId="23" borderId="3" xfId="2" applyNumberFormat="1" applyFont="1" applyFill="1" applyBorder="1" applyAlignment="1">
      <alignment horizontal="center"/>
    </xf>
    <xf numFmtId="1" fontId="13" fillId="24" borderId="2" xfId="2" applyNumberFormat="1" applyFont="1" applyFill="1" applyBorder="1" applyAlignment="1">
      <alignment horizontal="center"/>
    </xf>
    <xf numFmtId="1" fontId="13" fillId="25" borderId="2" xfId="2" applyNumberFormat="1" applyFont="1" applyFill="1" applyBorder="1" applyAlignment="1">
      <alignment horizontal="center"/>
    </xf>
    <xf numFmtId="1" fontId="13" fillId="26" borderId="2" xfId="2" applyNumberFormat="1" applyFont="1" applyFill="1" applyBorder="1" applyAlignment="1">
      <alignment horizontal="center"/>
    </xf>
    <xf numFmtId="166" fontId="22" fillId="19" borderId="1" xfId="2" applyNumberFormat="1" applyFont="1" applyFill="1" applyBorder="1" applyAlignment="1">
      <alignment horizontal="center"/>
    </xf>
    <xf numFmtId="168" fontId="9" fillId="19" borderId="1" xfId="4" applyNumberFormat="1" applyFont="1" applyFill="1" applyBorder="1"/>
    <xf numFmtId="166" fontId="22" fillId="19" borderId="0" xfId="2" applyNumberFormat="1" applyFont="1" applyFill="1" applyBorder="1" applyAlignment="1">
      <alignment horizontal="center"/>
    </xf>
    <xf numFmtId="168" fontId="9" fillId="19" borderId="0" xfId="4" applyNumberFormat="1" applyFont="1" applyFill="1" applyBorder="1"/>
    <xf numFmtId="166" fontId="22" fillId="19" borderId="2" xfId="2" applyNumberFormat="1" applyFont="1" applyFill="1" applyBorder="1" applyAlignment="1">
      <alignment horizontal="center"/>
    </xf>
    <xf numFmtId="168" fontId="9" fillId="19" borderId="2" xfId="4" applyNumberFormat="1" applyFont="1" applyFill="1" applyBorder="1"/>
    <xf numFmtId="166" fontId="22" fillId="19" borderId="3" xfId="2" applyNumberFormat="1" applyFont="1" applyFill="1" applyBorder="1"/>
    <xf numFmtId="166" fontId="10" fillId="19" borderId="3" xfId="2" applyNumberFormat="1" applyFont="1" applyFill="1" applyBorder="1"/>
    <xf numFmtId="170" fontId="9" fillId="19" borderId="3" xfId="2" applyNumberFormat="1" applyFont="1" applyFill="1" applyBorder="1"/>
    <xf numFmtId="166" fontId="22" fillId="19" borderId="1" xfId="2" applyNumberFormat="1" applyFont="1" applyFill="1" applyBorder="1"/>
    <xf numFmtId="166" fontId="9" fillId="19" borderId="1" xfId="2" applyNumberFormat="1" applyFont="1" applyFill="1" applyBorder="1"/>
    <xf numFmtId="166" fontId="22" fillId="19" borderId="2" xfId="2" applyNumberFormat="1" applyFont="1" applyFill="1" applyBorder="1"/>
    <xf numFmtId="166" fontId="9" fillId="19" borderId="2" xfId="2" applyNumberFormat="1" applyFont="1" applyFill="1" applyBorder="1"/>
    <xf numFmtId="168" fontId="22" fillId="19" borderId="1" xfId="4" applyNumberFormat="1" applyFont="1" applyFill="1" applyBorder="1"/>
    <xf numFmtId="170" fontId="9" fillId="19" borderId="1" xfId="2" applyNumberFormat="1" applyFont="1" applyFill="1" applyBorder="1"/>
    <xf numFmtId="168" fontId="22" fillId="19" borderId="0" xfId="4" applyNumberFormat="1" applyFont="1" applyFill="1" applyBorder="1"/>
    <xf numFmtId="170" fontId="9" fillId="19" borderId="0" xfId="2" applyNumberFormat="1" applyFont="1" applyFill="1" applyBorder="1"/>
    <xf numFmtId="168" fontId="22" fillId="19" borderId="2" xfId="4" applyNumberFormat="1" applyFont="1" applyFill="1" applyBorder="1"/>
    <xf numFmtId="170" fontId="9" fillId="19" borderId="2" xfId="2" applyNumberFormat="1" applyFont="1" applyFill="1" applyBorder="1"/>
    <xf numFmtId="168" fontId="9" fillId="19" borderId="3" xfId="4" applyNumberFormat="1" applyFont="1" applyFill="1" applyBorder="1"/>
    <xf numFmtId="170" fontId="13" fillId="27" borderId="3" xfId="2" applyNumberFormat="1" applyFont="1" applyFill="1" applyBorder="1"/>
    <xf numFmtId="1" fontId="13" fillId="0" borderId="2" xfId="2" applyNumberFormat="1" applyFont="1" applyFill="1" applyBorder="1" applyAlignment="1">
      <alignment horizontal="center"/>
    </xf>
    <xf numFmtId="170" fontId="19" fillId="0" borderId="0" xfId="2" applyNumberFormat="1" applyFont="1" applyFill="1" applyBorder="1"/>
    <xf numFmtId="170" fontId="12" fillId="27" borderId="0" xfId="2" applyNumberFormat="1" applyFont="1" applyFill="1" applyBorder="1"/>
    <xf numFmtId="168" fontId="58" fillId="9" borderId="1" xfId="4" applyNumberFormat="1" applyFont="1" applyFill="1" applyBorder="1"/>
    <xf numFmtId="168" fontId="58" fillId="2" borderId="3" xfId="4" applyNumberFormat="1" applyFont="1" applyFill="1" applyBorder="1"/>
    <xf numFmtId="168" fontId="24" fillId="9" borderId="0" xfId="4" applyNumberFormat="1" applyFont="1" applyFill="1" applyBorder="1"/>
    <xf numFmtId="170" fontId="58" fillId="2" borderId="1" xfId="2" applyNumberFormat="1" applyFont="1" applyFill="1" applyBorder="1"/>
    <xf numFmtId="170" fontId="58" fillId="2" borderId="0" xfId="2" applyNumberFormat="1" applyFont="1" applyFill="1" applyBorder="1"/>
    <xf numFmtId="170" fontId="58" fillId="2" borderId="2" xfId="2" applyNumberFormat="1" applyFont="1" applyFill="1" applyBorder="1"/>
    <xf numFmtId="168" fontId="58" fillId="9" borderId="2" xfId="4" applyNumberFormat="1" applyFont="1" applyFill="1" applyBorder="1"/>
    <xf numFmtId="166" fontId="10" fillId="13" borderId="5" xfId="2" applyNumberFormat="1" applyFont="1" applyFill="1" applyBorder="1"/>
    <xf numFmtId="166" fontId="9" fillId="13" borderId="0" xfId="2" applyNumberFormat="1" applyFont="1" applyFill="1" applyBorder="1"/>
    <xf numFmtId="166" fontId="9" fillId="19" borderId="0" xfId="2" applyNumberFormat="1" applyFont="1" applyFill="1" applyBorder="1"/>
    <xf numFmtId="170" fontId="10" fillId="19" borderId="3" xfId="2" applyNumberFormat="1" applyFont="1" applyFill="1" applyBorder="1"/>
    <xf numFmtId="9" fontId="10" fillId="19" borderId="3" xfId="4" applyFont="1" applyFill="1" applyBorder="1"/>
    <xf numFmtId="9" fontId="58" fillId="2" borderId="0" xfId="4" applyFont="1" applyFill="1" applyBorder="1"/>
    <xf numFmtId="170" fontId="30" fillId="2" borderId="0" xfId="2" applyNumberFormat="1" applyFont="1" applyFill="1"/>
    <xf numFmtId="166" fontId="30" fillId="2" borderId="0" xfId="2" applyNumberFormat="1" applyFont="1" applyFill="1"/>
    <xf numFmtId="170" fontId="30" fillId="2" borderId="0" xfId="2" applyNumberFormat="1" applyFont="1" applyFill="1" applyBorder="1"/>
    <xf numFmtId="170" fontId="16" fillId="19" borderId="1" xfId="2" applyNumberFormat="1" applyFont="1" applyFill="1" applyBorder="1"/>
    <xf numFmtId="170" fontId="16" fillId="19" borderId="0" xfId="2" applyNumberFormat="1" applyFont="1" applyFill="1" applyBorder="1"/>
    <xf numFmtId="170" fontId="16" fillId="19" borderId="2" xfId="2" applyNumberFormat="1" applyFont="1" applyFill="1" applyBorder="1"/>
    <xf numFmtId="164" fontId="16" fillId="19" borderId="1" xfId="2" applyFont="1" applyFill="1" applyBorder="1"/>
    <xf numFmtId="166" fontId="22" fillId="19" borderId="0" xfId="2" applyNumberFormat="1" applyFont="1" applyFill="1" applyBorder="1"/>
    <xf numFmtId="168" fontId="22" fillId="19" borderId="7" xfId="4" applyNumberFormat="1" applyFont="1" applyFill="1" applyBorder="1"/>
    <xf numFmtId="166" fontId="9" fillId="19" borderId="7" xfId="2" applyNumberFormat="1" applyFont="1" applyFill="1" applyBorder="1"/>
    <xf numFmtId="166" fontId="9" fillId="22" borderId="0" xfId="2" applyNumberFormat="1" applyFont="1" applyFill="1" applyBorder="1"/>
    <xf numFmtId="168" fontId="58" fillId="9" borderId="3" xfId="4" applyNumberFormat="1" applyFont="1" applyFill="1" applyBorder="1"/>
    <xf numFmtId="168" fontId="58" fillId="9" borderId="0" xfId="4" applyNumberFormat="1" applyFont="1" applyFill="1" applyBorder="1"/>
    <xf numFmtId="170" fontId="58" fillId="4" borderId="3" xfId="2" applyNumberFormat="1" applyFont="1" applyFill="1" applyBorder="1"/>
    <xf numFmtId="170" fontId="58" fillId="4" borderId="1" xfId="2" applyNumberFormat="1" applyFont="1" applyFill="1" applyBorder="1"/>
    <xf numFmtId="168" fontId="58" fillId="4" borderId="1" xfId="4" applyNumberFormat="1" applyFont="1" applyFill="1" applyBorder="1"/>
    <xf numFmtId="170" fontId="58" fillId="4" borderId="0" xfId="2" applyNumberFormat="1" applyFont="1" applyFill="1" applyBorder="1"/>
    <xf numFmtId="168" fontId="58" fillId="4" borderId="0" xfId="4" applyNumberFormat="1" applyFont="1" applyFill="1" applyBorder="1"/>
    <xf numFmtId="170" fontId="58" fillId="4" borderId="2" xfId="2" applyNumberFormat="1" applyFont="1" applyFill="1" applyBorder="1"/>
    <xf numFmtId="168" fontId="58" fillId="4" borderId="2" xfId="4" applyNumberFormat="1" applyFont="1" applyFill="1" applyBorder="1"/>
    <xf numFmtId="168" fontId="58" fillId="2" borderId="1" xfId="4" applyNumberFormat="1" applyFont="1" applyFill="1" applyBorder="1"/>
    <xf numFmtId="168" fontId="58" fillId="2" borderId="2" xfId="4" applyNumberFormat="1" applyFont="1" applyFill="1" applyBorder="1"/>
    <xf numFmtId="168" fontId="59" fillId="19" borderId="0" xfId="4" applyNumberFormat="1" applyFont="1" applyFill="1" applyBorder="1"/>
    <xf numFmtId="170" fontId="28" fillId="19" borderId="1" xfId="2" applyNumberFormat="1" applyFont="1" applyFill="1" applyBorder="1"/>
    <xf numFmtId="170" fontId="28" fillId="19" borderId="0" xfId="2" applyNumberFormat="1" applyFont="1" applyFill="1" applyBorder="1"/>
    <xf numFmtId="170" fontId="19" fillId="19" borderId="3" xfId="2" applyNumberFormat="1" applyFont="1" applyFill="1" applyBorder="1"/>
    <xf numFmtId="170" fontId="22" fillId="19" borderId="1" xfId="2" applyNumberFormat="1" applyFont="1" applyFill="1" applyBorder="1"/>
    <xf numFmtId="170" fontId="22" fillId="19" borderId="0" xfId="2" applyNumberFormat="1" applyFont="1" applyFill="1" applyBorder="1"/>
    <xf numFmtId="170" fontId="22" fillId="19" borderId="2" xfId="2" applyNumberFormat="1" applyFont="1" applyFill="1" applyBorder="1"/>
    <xf numFmtId="170" fontId="26" fillId="19" borderId="1" xfId="4" applyNumberFormat="1" applyFont="1" applyFill="1" applyBorder="1"/>
    <xf numFmtId="166" fontId="24" fillId="19" borderId="1" xfId="2" applyNumberFormat="1" applyFont="1" applyFill="1" applyBorder="1"/>
    <xf numFmtId="168" fontId="26" fillId="19" borderId="0" xfId="4" applyNumberFormat="1" applyFont="1" applyFill="1" applyBorder="1"/>
    <xf numFmtId="166" fontId="24" fillId="19" borderId="0" xfId="2" applyNumberFormat="1" applyFont="1" applyFill="1" applyBorder="1"/>
    <xf numFmtId="9" fontId="22" fillId="19" borderId="0" xfId="4" applyFont="1" applyFill="1" applyBorder="1"/>
    <xf numFmtId="170" fontId="22" fillId="19" borderId="1" xfId="4" applyNumberFormat="1" applyFont="1" applyFill="1" applyBorder="1"/>
    <xf numFmtId="170" fontId="39" fillId="19" borderId="3" xfId="2" applyNumberFormat="1" applyFont="1" applyFill="1" applyBorder="1"/>
    <xf numFmtId="168" fontId="22" fillId="19" borderId="3" xfId="4" applyNumberFormat="1" applyFont="1" applyFill="1" applyBorder="1"/>
    <xf numFmtId="9" fontId="22" fillId="19" borderId="2" xfId="4" applyFont="1" applyFill="1" applyBorder="1"/>
    <xf numFmtId="170" fontId="10" fillId="9" borderId="4" xfId="2" applyNumberFormat="1" applyFont="1" applyFill="1" applyBorder="1"/>
    <xf numFmtId="9" fontId="10" fillId="9" borderId="4" xfId="4" applyFont="1" applyFill="1" applyBorder="1"/>
    <xf numFmtId="166" fontId="10" fillId="9" borderId="4" xfId="2" applyNumberFormat="1" applyFont="1" applyFill="1" applyBorder="1"/>
    <xf numFmtId="170" fontId="10" fillId="9" borderId="0" xfId="2" applyNumberFormat="1" applyFont="1" applyFill="1" applyBorder="1"/>
    <xf numFmtId="166" fontId="9" fillId="19" borderId="3" xfId="2" applyNumberFormat="1" applyFont="1" applyFill="1" applyBorder="1"/>
    <xf numFmtId="166" fontId="26" fillId="19" borderId="2" xfId="2" applyNumberFormat="1" applyFont="1" applyFill="1" applyBorder="1"/>
    <xf numFmtId="170" fontId="26" fillId="19" borderId="3" xfId="6" applyNumberFormat="1" applyFont="1" applyFill="1" applyBorder="1"/>
    <xf numFmtId="170" fontId="22" fillId="19" borderId="1" xfId="6" applyNumberFormat="1" applyFont="1" applyFill="1" applyBorder="1"/>
    <xf numFmtId="166" fontId="24" fillId="19" borderId="2" xfId="2" applyNumberFormat="1" applyFont="1" applyFill="1" applyBorder="1"/>
    <xf numFmtId="166" fontId="24" fillId="19" borderId="3" xfId="2" applyNumberFormat="1" applyFont="1" applyFill="1" applyBorder="1"/>
    <xf numFmtId="170" fontId="13" fillId="11" borderId="5" xfId="2" applyNumberFormat="1" applyFont="1" applyFill="1" applyBorder="1"/>
    <xf numFmtId="166" fontId="13" fillId="11" borderId="5" xfId="2" applyNumberFormat="1" applyFont="1" applyFill="1" applyBorder="1"/>
    <xf numFmtId="166" fontId="25" fillId="11" borderId="0" xfId="2" applyNumberFormat="1" applyFont="1" applyFill="1" applyBorder="1"/>
    <xf numFmtId="170" fontId="25" fillId="11" borderId="0" xfId="2" applyNumberFormat="1" applyFont="1" applyFill="1" applyBorder="1"/>
    <xf numFmtId="170" fontId="10" fillId="19" borderId="1" xfId="2" applyNumberFormat="1" applyFont="1" applyFill="1" applyBorder="1"/>
    <xf numFmtId="168" fontId="10" fillId="19" borderId="1" xfId="4" applyNumberFormat="1" applyFont="1" applyFill="1" applyBorder="1" applyAlignment="1">
      <alignment horizontal="right"/>
    </xf>
    <xf numFmtId="170" fontId="10" fillId="19" borderId="0" xfId="2" applyNumberFormat="1" applyFont="1" applyFill="1" applyBorder="1"/>
    <xf numFmtId="166" fontId="10" fillId="19" borderId="0" xfId="2" applyNumberFormat="1" applyFont="1" applyFill="1" applyBorder="1"/>
    <xf numFmtId="170" fontId="10" fillId="19" borderId="2" xfId="2" applyNumberFormat="1" applyFont="1" applyFill="1" applyBorder="1"/>
    <xf numFmtId="166" fontId="20" fillId="19" borderId="2" xfId="2" applyNumberFormat="1" applyFont="1" applyFill="1" applyBorder="1"/>
    <xf numFmtId="166" fontId="10" fillId="19" borderId="1" xfId="2" applyNumberFormat="1" applyFont="1" applyFill="1" applyBorder="1"/>
    <xf numFmtId="168" fontId="10" fillId="19" borderId="0" xfId="4" applyNumberFormat="1" applyFont="1" applyFill="1" applyBorder="1"/>
    <xf numFmtId="168" fontId="10" fillId="19" borderId="0" xfId="4" applyNumberFormat="1" applyFont="1" applyFill="1" applyBorder="1" applyAlignment="1">
      <alignment horizontal="right"/>
    </xf>
    <xf numFmtId="166" fontId="60" fillId="19" borderId="2" xfId="2" applyNumberFormat="1" applyFont="1" applyFill="1" applyBorder="1"/>
    <xf numFmtId="170" fontId="10" fillId="28" borderId="4" xfId="2" applyNumberFormat="1" applyFont="1" applyFill="1" applyBorder="1"/>
    <xf numFmtId="166" fontId="10" fillId="28" borderId="4" xfId="2" applyNumberFormat="1" applyFont="1" applyFill="1" applyBorder="1"/>
    <xf numFmtId="170" fontId="10" fillId="28" borderId="5" xfId="2" applyNumberFormat="1" applyFont="1" applyFill="1" applyBorder="1"/>
    <xf numFmtId="166" fontId="10" fillId="28" borderId="5" xfId="2" applyNumberFormat="1" applyFont="1" applyFill="1" applyBorder="1"/>
    <xf numFmtId="170" fontId="13" fillId="23" borderId="1" xfId="2" applyNumberFormat="1" applyFont="1" applyFill="1" applyBorder="1" applyAlignment="1">
      <alignment horizontal="left"/>
    </xf>
    <xf numFmtId="1" fontId="25" fillId="23" borderId="2" xfId="2" applyNumberFormat="1" applyFont="1" applyFill="1" applyBorder="1" applyAlignment="1">
      <alignment horizontal="left"/>
    </xf>
    <xf numFmtId="164" fontId="61" fillId="4" borderId="0" xfId="2" applyFont="1" applyFill="1" applyAlignment="1">
      <alignment vertical="center"/>
    </xf>
    <xf numFmtId="0" fontId="62" fillId="4" borderId="0" xfId="0" applyFont="1" applyFill="1" applyAlignment="1">
      <alignment horizontal="left" vertical="center" indent="4"/>
    </xf>
    <xf numFmtId="0" fontId="6" fillId="4" borderId="0" xfId="0" applyFont="1" applyFill="1" applyAlignment="1">
      <alignment vertical="center"/>
    </xf>
    <xf numFmtId="166" fontId="10" fillId="4" borderId="0" xfId="2" applyNumberFormat="1" applyFont="1" applyFill="1" applyAlignment="1">
      <alignment horizontal="center"/>
    </xf>
    <xf numFmtId="166" fontId="10" fillId="4" borderId="1" xfId="2" applyNumberFormat="1" applyFont="1" applyFill="1" applyBorder="1"/>
    <xf numFmtId="166" fontId="10" fillId="4" borderId="2" xfId="2" applyNumberFormat="1" applyFont="1" applyFill="1" applyBorder="1"/>
    <xf numFmtId="166" fontId="10" fillId="4" borderId="0" xfId="2" applyNumberFormat="1" applyFont="1" applyFill="1"/>
    <xf numFmtId="166" fontId="10" fillId="4" borderId="3" xfId="2" applyNumberFormat="1" applyFont="1" applyFill="1" applyBorder="1"/>
    <xf numFmtId="166" fontId="9" fillId="4" borderId="3" xfId="2" applyNumberFormat="1" applyFont="1" applyFill="1" applyBorder="1"/>
    <xf numFmtId="166" fontId="10" fillId="4" borderId="5" xfId="2" applyNumberFormat="1" applyFont="1" applyFill="1" applyBorder="1"/>
    <xf numFmtId="166" fontId="9" fillId="4" borderId="5" xfId="2" applyNumberFormat="1" applyFont="1" applyFill="1" applyBorder="1"/>
    <xf numFmtId="166" fontId="10" fillId="4" borderId="3" xfId="2" applyNumberFormat="1" applyFont="1" applyFill="1" applyBorder="1" applyAlignment="1">
      <alignment horizontal="center"/>
    </xf>
    <xf numFmtId="168" fontId="9" fillId="4" borderId="0" xfId="4" applyNumberFormat="1" applyFont="1" applyFill="1"/>
    <xf numFmtId="168" fontId="28" fillId="4" borderId="0" xfId="4" applyNumberFormat="1" applyFont="1" applyFill="1"/>
    <xf numFmtId="168" fontId="10" fillId="4" borderId="3" xfId="4" applyNumberFormat="1" applyFont="1" applyFill="1" applyBorder="1"/>
    <xf numFmtId="168" fontId="49" fillId="4" borderId="0" xfId="4" applyNumberFormat="1" applyFont="1" applyFill="1"/>
  </cellXfs>
  <cellStyles count="12">
    <cellStyle name="Comma" xfId="2" builtinId="3"/>
    <cellStyle name="Currency" xfId="11" builtinId="4"/>
    <cellStyle name="Euro" xfId="1" xr:uid="{00000000-0005-0000-0000-000000000000}"/>
    <cellStyle name="Hyperlink" xfId="10" builtinId="8"/>
    <cellStyle name="Millares 2" xfId="6" xr:uid="{00000000-0005-0000-0000-000003000000}"/>
    <cellStyle name="Moneda0" xfId="3" xr:uid="{00000000-0005-0000-0000-000004000000}"/>
    <cellStyle name="Normal" xfId="0" builtinId="0"/>
    <cellStyle name="Normal 2" xfId="8" xr:uid="{00000000-0005-0000-0000-000006000000}"/>
    <cellStyle name="Percent" xfId="4" builtinId="5"/>
    <cellStyle name="Porcentaje 2" xfId="9" xr:uid="{00000000-0005-0000-0000-000008000000}"/>
    <cellStyle name="Porcentual 2" xfId="7" xr:uid="{00000000-0005-0000-0000-000009000000}"/>
    <cellStyle name="Punto0" xfId="5" xr:uid="{00000000-0005-0000-0000-00000A000000}"/>
  </cellStyles>
  <dxfs count="0"/>
  <tableStyles count="0" defaultTableStyle="TableStyleMedium9" defaultPivotStyle="PivotStyleLight16"/>
  <colors>
    <mruColors>
      <color rgb="FF0000FF"/>
      <color rgb="FFFFFFCC"/>
      <color rgb="FFFF66FF"/>
      <color rgb="FFFFFFFF"/>
      <color rgb="FFFFFF00"/>
      <color rgb="FF0066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10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 sz="1400" b="1"/>
              <a:t>PROYECTO SAN MARTIN</a:t>
            </a:r>
          </a:p>
          <a:p>
            <a:pPr>
              <a:defRPr b="1"/>
            </a:pPr>
            <a:r>
              <a:rPr lang="es-AR" sz="1200" b="1"/>
              <a:t>Cash Flow Acumulado (UVAs</a:t>
            </a:r>
            <a:r>
              <a:rPr lang="es-AR" sz="1400" b="1"/>
              <a:t>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'Resid - BCase Base CF'!$H$280</c:f>
              <c:strCache>
                <c:ptCount val="1"/>
                <c:pt idx="0">
                  <c:v> Egresos 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'Resid - BCase Base CF'!$I$279:$BN$279</c:f>
              <c:numCache>
                <c:formatCode>_-* #,##0\ _€_-;\-* #,##0\ _€_-;_-* "-"??\ _€_-;_-@_-</c:formatCode>
                <c:ptCount val="58"/>
                <c:pt idx="0">
                  <c:v>-6</c:v>
                </c:pt>
                <c:pt idx="1">
                  <c:v>-5</c:v>
                </c:pt>
                <c:pt idx="2">
                  <c:v>-4</c:v>
                </c:pt>
                <c:pt idx="3">
                  <c:v>-3</c:v>
                </c:pt>
                <c:pt idx="4">
                  <c:v>-2</c:v>
                </c:pt>
                <c:pt idx="5">
                  <c:v>-1</c:v>
                </c:pt>
                <c:pt idx="6">
                  <c:v>1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5</c:v>
                </c:pt>
                <c:pt idx="11">
                  <c:v>6</c:v>
                </c:pt>
                <c:pt idx="12">
                  <c:v>7</c:v>
                </c:pt>
                <c:pt idx="13">
                  <c:v>8</c:v>
                </c:pt>
                <c:pt idx="14">
                  <c:v>9</c:v>
                </c:pt>
                <c:pt idx="15">
                  <c:v>10</c:v>
                </c:pt>
                <c:pt idx="16">
                  <c:v>11</c:v>
                </c:pt>
                <c:pt idx="17">
                  <c:v>12</c:v>
                </c:pt>
                <c:pt idx="18">
                  <c:v>13</c:v>
                </c:pt>
                <c:pt idx="19">
                  <c:v>14</c:v>
                </c:pt>
                <c:pt idx="20">
                  <c:v>15</c:v>
                </c:pt>
                <c:pt idx="21">
                  <c:v>16</c:v>
                </c:pt>
                <c:pt idx="22">
                  <c:v>17</c:v>
                </c:pt>
                <c:pt idx="23">
                  <c:v>18</c:v>
                </c:pt>
                <c:pt idx="24">
                  <c:v>19</c:v>
                </c:pt>
                <c:pt idx="25">
                  <c:v>20</c:v>
                </c:pt>
                <c:pt idx="26">
                  <c:v>21</c:v>
                </c:pt>
                <c:pt idx="27">
                  <c:v>22</c:v>
                </c:pt>
                <c:pt idx="28">
                  <c:v>23</c:v>
                </c:pt>
                <c:pt idx="29">
                  <c:v>24</c:v>
                </c:pt>
                <c:pt idx="30">
                  <c:v>25</c:v>
                </c:pt>
                <c:pt idx="31">
                  <c:v>26</c:v>
                </c:pt>
                <c:pt idx="32">
                  <c:v>27</c:v>
                </c:pt>
                <c:pt idx="33">
                  <c:v>28</c:v>
                </c:pt>
                <c:pt idx="34">
                  <c:v>29</c:v>
                </c:pt>
                <c:pt idx="35">
                  <c:v>30</c:v>
                </c:pt>
                <c:pt idx="36">
                  <c:v>31</c:v>
                </c:pt>
                <c:pt idx="37">
                  <c:v>32</c:v>
                </c:pt>
                <c:pt idx="38">
                  <c:v>33</c:v>
                </c:pt>
                <c:pt idx="39">
                  <c:v>34</c:v>
                </c:pt>
                <c:pt idx="40">
                  <c:v>35</c:v>
                </c:pt>
                <c:pt idx="41">
                  <c:v>36</c:v>
                </c:pt>
                <c:pt idx="42">
                  <c:v>37</c:v>
                </c:pt>
                <c:pt idx="43">
                  <c:v>38</c:v>
                </c:pt>
                <c:pt idx="44">
                  <c:v>39</c:v>
                </c:pt>
                <c:pt idx="45">
                  <c:v>40</c:v>
                </c:pt>
                <c:pt idx="46">
                  <c:v>41</c:v>
                </c:pt>
                <c:pt idx="47">
                  <c:v>42</c:v>
                </c:pt>
                <c:pt idx="48">
                  <c:v>43</c:v>
                </c:pt>
                <c:pt idx="49">
                  <c:v>44</c:v>
                </c:pt>
                <c:pt idx="50">
                  <c:v>45</c:v>
                </c:pt>
                <c:pt idx="51">
                  <c:v>46</c:v>
                </c:pt>
                <c:pt idx="52">
                  <c:v>47</c:v>
                </c:pt>
                <c:pt idx="53">
                  <c:v>48</c:v>
                </c:pt>
                <c:pt idx="54">
                  <c:v>49</c:v>
                </c:pt>
                <c:pt idx="55">
                  <c:v>50</c:v>
                </c:pt>
                <c:pt idx="56">
                  <c:v>51</c:v>
                </c:pt>
                <c:pt idx="57">
                  <c:v>52</c:v>
                </c:pt>
              </c:numCache>
            </c:numRef>
          </c:cat>
          <c:val>
            <c:numRef>
              <c:f>'Resid - BCase Base CF'!$I$280:$BN$280</c:f>
              <c:numCache>
                <c:formatCode>_-* #,##0\ _€_-;\-* #,##0\ _€_-;_-* "-"??\ _€_-;_-@_-</c:formatCode>
                <c:ptCount val="58"/>
                <c:pt idx="0">
                  <c:v>-1943994.4</c:v>
                </c:pt>
                <c:pt idx="1">
                  <c:v>-1979110.5330694111</c:v>
                </c:pt>
                <c:pt idx="2">
                  <c:v>-2054896.8421911544</c:v>
                </c:pt>
                <c:pt idx="3">
                  <c:v>-2130683.1513128974</c:v>
                </c:pt>
                <c:pt idx="4">
                  <c:v>-2222493.3609893313</c:v>
                </c:pt>
                <c:pt idx="5">
                  <c:v>-2314303.5706657651</c:v>
                </c:pt>
                <c:pt idx="6">
                  <c:v>-2371865.2110349718</c:v>
                </c:pt>
                <c:pt idx="7">
                  <c:v>-2498960.5331318746</c:v>
                </c:pt>
                <c:pt idx="8">
                  <c:v>-2694588.573683803</c:v>
                </c:pt>
                <c:pt idx="9">
                  <c:v>-2779570.4984962428</c:v>
                </c:pt>
                <c:pt idx="10">
                  <c:v>-2999450.5653659804</c:v>
                </c:pt>
                <c:pt idx="11">
                  <c:v>-3313141.9532903703</c:v>
                </c:pt>
                <c:pt idx="12">
                  <c:v>-3540666.150660614</c:v>
                </c:pt>
                <c:pt idx="13">
                  <c:v>-3759470.5938344034</c:v>
                </c:pt>
                <c:pt idx="14">
                  <c:v>-3979273.5386162382</c:v>
                </c:pt>
                <c:pt idx="15">
                  <c:v>-4193692.3312144205</c:v>
                </c:pt>
                <c:pt idx="16">
                  <c:v>-4420394.4075441547</c:v>
                </c:pt>
                <c:pt idx="17">
                  <c:v>-4595347.7904598694</c:v>
                </c:pt>
                <c:pt idx="18">
                  <c:v>-4789328.3622041745</c:v>
                </c:pt>
                <c:pt idx="19">
                  <c:v>-4998828.9469196741</c:v>
                </c:pt>
                <c:pt idx="20">
                  <c:v>-5227274.9877487207</c:v>
                </c:pt>
                <c:pt idx="21">
                  <c:v>-5545635.7395643592</c:v>
                </c:pt>
                <c:pt idx="22">
                  <c:v>-5900935.6863535708</c:v>
                </c:pt>
                <c:pt idx="23">
                  <c:v>-6292938.1428921623</c:v>
                </c:pt>
                <c:pt idx="24">
                  <c:v>-6721815.3166587092</c:v>
                </c:pt>
                <c:pt idx="25">
                  <c:v>-7169619.699503799</c:v>
                </c:pt>
                <c:pt idx="26">
                  <c:v>-7636142.4156318689</c:v>
                </c:pt>
                <c:pt idx="27">
                  <c:v>-8192598.4828980993</c:v>
                </c:pt>
                <c:pt idx="28">
                  <c:v>-8786007.2678923942</c:v>
                </c:pt>
                <c:pt idx="29">
                  <c:v>-9398017.4636920802</c:v>
                </c:pt>
                <c:pt idx="30">
                  <c:v>-10141722.60892093</c:v>
                </c:pt>
                <c:pt idx="31">
                  <c:v>-10882579.41501314</c:v>
                </c:pt>
                <c:pt idx="32">
                  <c:v>-11624353.43903265</c:v>
                </c:pt>
                <c:pt idx="33">
                  <c:v>-12377916.148791565</c:v>
                </c:pt>
                <c:pt idx="34">
                  <c:v>-13179911.754110524</c:v>
                </c:pt>
                <c:pt idx="35">
                  <c:v>-13936912.621838549</c:v>
                </c:pt>
                <c:pt idx="36">
                  <c:v>-14630082.189121727</c:v>
                </c:pt>
                <c:pt idx="37">
                  <c:v>-15291507.643040279</c:v>
                </c:pt>
                <c:pt idx="38">
                  <c:v>-15947348.815466179</c:v>
                </c:pt>
                <c:pt idx="39">
                  <c:v>-16511280.153212419</c:v>
                </c:pt>
                <c:pt idx="40">
                  <c:v>-17105203.567949366</c:v>
                </c:pt>
                <c:pt idx="41">
                  <c:v>-17694064.329756539</c:v>
                </c:pt>
                <c:pt idx="42">
                  <c:v>-18221981.956826907</c:v>
                </c:pt>
                <c:pt idx="43">
                  <c:v>-18709888.724417616</c:v>
                </c:pt>
                <c:pt idx="44">
                  <c:v>-19174278.421264157</c:v>
                </c:pt>
                <c:pt idx="45">
                  <c:v>-19515610.465636209</c:v>
                </c:pt>
                <c:pt idx="46">
                  <c:v>-19864601.850460611</c:v>
                </c:pt>
                <c:pt idx="47">
                  <c:v>-20208787.661236838</c:v>
                </c:pt>
                <c:pt idx="48">
                  <c:v>-20474632.372953024</c:v>
                </c:pt>
                <c:pt idx="49">
                  <c:v>-20716977.417475194</c:v>
                </c:pt>
                <c:pt idx="50">
                  <c:v>-20948410.969735809</c:v>
                </c:pt>
                <c:pt idx="51">
                  <c:v>-21072574.161897238</c:v>
                </c:pt>
                <c:pt idx="52">
                  <c:v>-21207303.245835777</c:v>
                </c:pt>
                <c:pt idx="53">
                  <c:v>-21355013.647372704</c:v>
                </c:pt>
                <c:pt idx="54">
                  <c:v>-21449225.669775736</c:v>
                </c:pt>
                <c:pt idx="55">
                  <c:v>-21531899.067312077</c:v>
                </c:pt>
                <c:pt idx="56">
                  <c:v>-21598069.822001092</c:v>
                </c:pt>
                <c:pt idx="57">
                  <c:v>-21605111.822001092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2B-284A-9614-B7357480AD6F}"/>
            </c:ext>
          </c:extLst>
        </c:ser>
        <c:ser>
          <c:idx val="1"/>
          <c:order val="1"/>
          <c:tx>
            <c:strRef>
              <c:f>'Resid - BCase Base CF'!$H$281</c:f>
              <c:strCache>
                <c:ptCount val="1"/>
                <c:pt idx="0">
                  <c:v> Ingresos </c:v>
                </c:pt>
              </c:strCache>
            </c:strRef>
          </c:tx>
          <c:spPr>
            <a:ln w="28575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cat>
            <c:numRef>
              <c:f>'Resid - BCase Base CF'!$I$279:$BN$279</c:f>
              <c:numCache>
                <c:formatCode>_-* #,##0\ _€_-;\-* #,##0\ _€_-;_-* "-"??\ _€_-;_-@_-</c:formatCode>
                <c:ptCount val="58"/>
                <c:pt idx="0">
                  <c:v>-6</c:v>
                </c:pt>
                <c:pt idx="1">
                  <c:v>-5</c:v>
                </c:pt>
                <c:pt idx="2">
                  <c:v>-4</c:v>
                </c:pt>
                <c:pt idx="3">
                  <c:v>-3</c:v>
                </c:pt>
                <c:pt idx="4">
                  <c:v>-2</c:v>
                </c:pt>
                <c:pt idx="5">
                  <c:v>-1</c:v>
                </c:pt>
                <c:pt idx="6">
                  <c:v>1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5</c:v>
                </c:pt>
                <c:pt idx="11">
                  <c:v>6</c:v>
                </c:pt>
                <c:pt idx="12">
                  <c:v>7</c:v>
                </c:pt>
                <c:pt idx="13">
                  <c:v>8</c:v>
                </c:pt>
                <c:pt idx="14">
                  <c:v>9</c:v>
                </c:pt>
                <c:pt idx="15">
                  <c:v>10</c:v>
                </c:pt>
                <c:pt idx="16">
                  <c:v>11</c:v>
                </c:pt>
                <c:pt idx="17">
                  <c:v>12</c:v>
                </c:pt>
                <c:pt idx="18">
                  <c:v>13</c:v>
                </c:pt>
                <c:pt idx="19">
                  <c:v>14</c:v>
                </c:pt>
                <c:pt idx="20">
                  <c:v>15</c:v>
                </c:pt>
                <c:pt idx="21">
                  <c:v>16</c:v>
                </c:pt>
                <c:pt idx="22">
                  <c:v>17</c:v>
                </c:pt>
                <c:pt idx="23">
                  <c:v>18</c:v>
                </c:pt>
                <c:pt idx="24">
                  <c:v>19</c:v>
                </c:pt>
                <c:pt idx="25">
                  <c:v>20</c:v>
                </c:pt>
                <c:pt idx="26">
                  <c:v>21</c:v>
                </c:pt>
                <c:pt idx="27">
                  <c:v>22</c:v>
                </c:pt>
                <c:pt idx="28">
                  <c:v>23</c:v>
                </c:pt>
                <c:pt idx="29">
                  <c:v>24</c:v>
                </c:pt>
                <c:pt idx="30">
                  <c:v>25</c:v>
                </c:pt>
                <c:pt idx="31">
                  <c:v>26</c:v>
                </c:pt>
                <c:pt idx="32">
                  <c:v>27</c:v>
                </c:pt>
                <c:pt idx="33">
                  <c:v>28</c:v>
                </c:pt>
                <c:pt idx="34">
                  <c:v>29</c:v>
                </c:pt>
                <c:pt idx="35">
                  <c:v>30</c:v>
                </c:pt>
                <c:pt idx="36">
                  <c:v>31</c:v>
                </c:pt>
                <c:pt idx="37">
                  <c:v>32</c:v>
                </c:pt>
                <c:pt idx="38">
                  <c:v>33</c:v>
                </c:pt>
                <c:pt idx="39">
                  <c:v>34</c:v>
                </c:pt>
                <c:pt idx="40">
                  <c:v>35</c:v>
                </c:pt>
                <c:pt idx="41">
                  <c:v>36</c:v>
                </c:pt>
                <c:pt idx="42">
                  <c:v>37</c:v>
                </c:pt>
                <c:pt idx="43">
                  <c:v>38</c:v>
                </c:pt>
                <c:pt idx="44">
                  <c:v>39</c:v>
                </c:pt>
                <c:pt idx="45">
                  <c:v>40</c:v>
                </c:pt>
                <c:pt idx="46">
                  <c:v>41</c:v>
                </c:pt>
                <c:pt idx="47">
                  <c:v>42</c:v>
                </c:pt>
                <c:pt idx="48">
                  <c:v>43</c:v>
                </c:pt>
                <c:pt idx="49">
                  <c:v>44</c:v>
                </c:pt>
                <c:pt idx="50">
                  <c:v>45</c:v>
                </c:pt>
                <c:pt idx="51">
                  <c:v>46</c:v>
                </c:pt>
                <c:pt idx="52">
                  <c:v>47</c:v>
                </c:pt>
                <c:pt idx="53">
                  <c:v>48</c:v>
                </c:pt>
                <c:pt idx="54">
                  <c:v>49</c:v>
                </c:pt>
                <c:pt idx="55">
                  <c:v>50</c:v>
                </c:pt>
                <c:pt idx="56">
                  <c:v>51</c:v>
                </c:pt>
                <c:pt idx="57">
                  <c:v>52</c:v>
                </c:pt>
              </c:numCache>
            </c:numRef>
          </c:cat>
          <c:val>
            <c:numRef>
              <c:f>'Resid - BCase Base CF'!$I$281:$BN$281</c:f>
              <c:numCache>
                <c:formatCode>_-* #,##0\ _€_-;\-* #,##0\ _€_-;_-* "-"??\ _€_-;_-@_-</c:formatCode>
                <c:ptCount val="5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691554.2708469131</c:v>
                </c:pt>
                <c:pt idx="8">
                  <c:v>1243182.971794981</c:v>
                </c:pt>
                <c:pt idx="9">
                  <c:v>1751119.8865890433</c:v>
                </c:pt>
                <c:pt idx="10">
                  <c:v>2161204.3906389186</c:v>
                </c:pt>
                <c:pt idx="11">
                  <c:v>2564179.1811078014</c:v>
                </c:pt>
                <c:pt idx="12">
                  <c:v>2992094.7225634074</c:v>
                </c:pt>
                <c:pt idx="13">
                  <c:v>3357484.8329153322</c:v>
                </c:pt>
                <c:pt idx="14">
                  <c:v>3741394.4320783596</c:v>
                </c:pt>
                <c:pt idx="15">
                  <c:v>4142168.0873744604</c:v>
                </c:pt>
                <c:pt idx="16">
                  <c:v>4501172.4566993099</c:v>
                </c:pt>
                <c:pt idx="17">
                  <c:v>4875703.1194739547</c:v>
                </c:pt>
                <c:pt idx="18">
                  <c:v>5266470.0777011765</c:v>
                </c:pt>
                <c:pt idx="19">
                  <c:v>5643302.9634926813</c:v>
                </c:pt>
                <c:pt idx="20">
                  <c:v>6035043.7693046154</c:v>
                </c:pt>
                <c:pt idx="21">
                  <c:v>6440968.3783178758</c:v>
                </c:pt>
                <c:pt idx="22">
                  <c:v>6868374.8748367624</c:v>
                </c:pt>
                <c:pt idx="23">
                  <c:v>7312144.6337706009</c:v>
                </c:pt>
                <c:pt idx="24">
                  <c:v>7773219.2040670011</c:v>
                </c:pt>
                <c:pt idx="25">
                  <c:v>8259243.5590012344</c:v>
                </c:pt>
                <c:pt idx="26">
                  <c:v>8765647.5622505695</c:v>
                </c:pt>
                <c:pt idx="27">
                  <c:v>9293907.0262389537</c:v>
                </c:pt>
                <c:pt idx="28">
                  <c:v>9852337.1393962298</c:v>
                </c:pt>
                <c:pt idx="29">
                  <c:v>10437433.482273782</c:v>
                </c:pt>
                <c:pt idx="30">
                  <c:v>11051857.152767301</c:v>
                </c:pt>
                <c:pt idx="31">
                  <c:v>11659519.692292415</c:v>
                </c:pt>
                <c:pt idx="32">
                  <c:v>12296095.478100084</c:v>
                </c:pt>
                <c:pt idx="33">
                  <c:v>12966494.260875899</c:v>
                </c:pt>
                <c:pt idx="34">
                  <c:v>13683310.809398541</c:v>
                </c:pt>
                <c:pt idx="35">
                  <c:v>14457906.174108723</c:v>
                </c:pt>
                <c:pt idx="36">
                  <c:v>16134786.121465025</c:v>
                </c:pt>
                <c:pt idx="37">
                  <c:v>17568299.959815722</c:v>
                </c:pt>
                <c:pt idx="38">
                  <c:v>19029085.370609257</c:v>
                </c:pt>
                <c:pt idx="39">
                  <c:v>19720756.686493497</c:v>
                </c:pt>
                <c:pt idx="40">
                  <c:v>20453100.215767652</c:v>
                </c:pt>
                <c:pt idx="41">
                  <c:v>21192370.326146916</c:v>
                </c:pt>
                <c:pt idx="42">
                  <c:v>22831304.731759127</c:v>
                </c:pt>
                <c:pt idx="43">
                  <c:v>24187362.649180446</c:v>
                </c:pt>
                <c:pt idx="44">
                  <c:v>25557179.154551983</c:v>
                </c:pt>
                <c:pt idx="45">
                  <c:v>25980722.928253159</c:v>
                </c:pt>
                <c:pt idx="46">
                  <c:v>26274253.301749192</c:v>
                </c:pt>
                <c:pt idx="47">
                  <c:v>26567783.675245225</c:v>
                </c:pt>
                <c:pt idx="48">
                  <c:v>27699244.860248294</c:v>
                </c:pt>
                <c:pt idx="49">
                  <c:v>28621097.473203443</c:v>
                </c:pt>
                <c:pt idx="50">
                  <c:v>29542950.086158592</c:v>
                </c:pt>
                <c:pt idx="51">
                  <c:v>29626871.887606706</c:v>
                </c:pt>
                <c:pt idx="52">
                  <c:v>29710793.689054821</c:v>
                </c:pt>
                <c:pt idx="53">
                  <c:v>29794715.490502935</c:v>
                </c:pt>
                <c:pt idx="54">
                  <c:v>30359744.43497907</c:v>
                </c:pt>
                <c:pt idx="55">
                  <c:v>30840851.578007091</c:v>
                </c:pt>
                <c:pt idx="56">
                  <c:v>31321958.721035112</c:v>
                </c:pt>
                <c:pt idx="57">
                  <c:v>31321958.721035112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2B-284A-9614-B7357480AD6F}"/>
            </c:ext>
          </c:extLst>
        </c:ser>
        <c:ser>
          <c:idx val="2"/>
          <c:order val="2"/>
          <c:tx>
            <c:strRef>
              <c:f>'Resid - BCase Base CF'!$H$282</c:f>
              <c:strCache>
                <c:ptCount val="1"/>
                <c:pt idx="0">
                  <c:v> IVA 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'Resid - BCase Base CF'!$I$279:$BN$279</c:f>
              <c:numCache>
                <c:formatCode>_-* #,##0\ _€_-;\-* #,##0\ _€_-;_-* "-"??\ _€_-;_-@_-</c:formatCode>
                <c:ptCount val="58"/>
                <c:pt idx="0">
                  <c:v>-6</c:v>
                </c:pt>
                <c:pt idx="1">
                  <c:v>-5</c:v>
                </c:pt>
                <c:pt idx="2">
                  <c:v>-4</c:v>
                </c:pt>
                <c:pt idx="3">
                  <c:v>-3</c:v>
                </c:pt>
                <c:pt idx="4">
                  <c:v>-2</c:v>
                </c:pt>
                <c:pt idx="5">
                  <c:v>-1</c:v>
                </c:pt>
                <c:pt idx="6">
                  <c:v>1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5</c:v>
                </c:pt>
                <c:pt idx="11">
                  <c:v>6</c:v>
                </c:pt>
                <c:pt idx="12">
                  <c:v>7</c:v>
                </c:pt>
                <c:pt idx="13">
                  <c:v>8</c:v>
                </c:pt>
                <c:pt idx="14">
                  <c:v>9</c:v>
                </c:pt>
                <c:pt idx="15">
                  <c:v>10</c:v>
                </c:pt>
                <c:pt idx="16">
                  <c:v>11</c:v>
                </c:pt>
                <c:pt idx="17">
                  <c:v>12</c:v>
                </c:pt>
                <c:pt idx="18">
                  <c:v>13</c:v>
                </c:pt>
                <c:pt idx="19">
                  <c:v>14</c:v>
                </c:pt>
                <c:pt idx="20">
                  <c:v>15</c:v>
                </c:pt>
                <c:pt idx="21">
                  <c:v>16</c:v>
                </c:pt>
                <c:pt idx="22">
                  <c:v>17</c:v>
                </c:pt>
                <c:pt idx="23">
                  <c:v>18</c:v>
                </c:pt>
                <c:pt idx="24">
                  <c:v>19</c:v>
                </c:pt>
                <c:pt idx="25">
                  <c:v>20</c:v>
                </c:pt>
                <c:pt idx="26">
                  <c:v>21</c:v>
                </c:pt>
                <c:pt idx="27">
                  <c:v>22</c:v>
                </c:pt>
                <c:pt idx="28">
                  <c:v>23</c:v>
                </c:pt>
                <c:pt idx="29">
                  <c:v>24</c:v>
                </c:pt>
                <c:pt idx="30">
                  <c:v>25</c:v>
                </c:pt>
                <c:pt idx="31">
                  <c:v>26</c:v>
                </c:pt>
                <c:pt idx="32">
                  <c:v>27</c:v>
                </c:pt>
                <c:pt idx="33">
                  <c:v>28</c:v>
                </c:pt>
                <c:pt idx="34">
                  <c:v>29</c:v>
                </c:pt>
                <c:pt idx="35">
                  <c:v>30</c:v>
                </c:pt>
                <c:pt idx="36">
                  <c:v>31</c:v>
                </c:pt>
                <c:pt idx="37">
                  <c:v>32</c:v>
                </c:pt>
                <c:pt idx="38">
                  <c:v>33</c:v>
                </c:pt>
                <c:pt idx="39">
                  <c:v>34</c:v>
                </c:pt>
                <c:pt idx="40">
                  <c:v>35</c:v>
                </c:pt>
                <c:pt idx="41">
                  <c:v>36</c:v>
                </c:pt>
                <c:pt idx="42">
                  <c:v>37</c:v>
                </c:pt>
                <c:pt idx="43">
                  <c:v>38</c:v>
                </c:pt>
                <c:pt idx="44">
                  <c:v>39</c:v>
                </c:pt>
                <c:pt idx="45">
                  <c:v>40</c:v>
                </c:pt>
                <c:pt idx="46">
                  <c:v>41</c:v>
                </c:pt>
                <c:pt idx="47">
                  <c:v>42</c:v>
                </c:pt>
                <c:pt idx="48">
                  <c:v>43</c:v>
                </c:pt>
                <c:pt idx="49">
                  <c:v>44</c:v>
                </c:pt>
                <c:pt idx="50">
                  <c:v>45</c:v>
                </c:pt>
                <c:pt idx="51">
                  <c:v>46</c:v>
                </c:pt>
                <c:pt idx="52">
                  <c:v>47</c:v>
                </c:pt>
                <c:pt idx="53">
                  <c:v>48</c:v>
                </c:pt>
                <c:pt idx="54">
                  <c:v>49</c:v>
                </c:pt>
                <c:pt idx="55">
                  <c:v>50</c:v>
                </c:pt>
                <c:pt idx="56">
                  <c:v>51</c:v>
                </c:pt>
                <c:pt idx="57">
                  <c:v>52</c:v>
                </c:pt>
              </c:numCache>
            </c:numRef>
          </c:cat>
          <c:val>
            <c:numRef>
              <c:f>'Resid - BCase Base CF'!$I$282:$BN$282</c:f>
              <c:numCache>
                <c:formatCode>_-* #,##0\ _€_-;\-* #,##0\ _€_-;_-* "-"??\ _€_-;_-@_-</c:formatCode>
                <c:ptCount val="58"/>
                <c:pt idx="0">
                  <c:v>0</c:v>
                </c:pt>
                <c:pt idx="1">
                  <c:v>-6587.1551978400003</c:v>
                </c:pt>
                <c:pt idx="2">
                  <c:v>-21653.488533389995</c:v>
                </c:pt>
                <c:pt idx="3">
                  <c:v>-36719.821868939987</c:v>
                </c:pt>
                <c:pt idx="4">
                  <c:v>-55126.920365903105</c:v>
                </c:pt>
                <c:pt idx="5">
                  <c:v>-73534.018862866214</c:v>
                </c:pt>
                <c:pt idx="6">
                  <c:v>-84800.756822810392</c:v>
                </c:pt>
                <c:pt idx="7">
                  <c:v>-42146.72997366757</c:v>
                </c:pt>
                <c:pt idx="8">
                  <c:v>-10094.537428496675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-21445.04253976186</c:v>
                </c:pt>
                <c:pt idx="25">
                  <c:v>-43313.067269347121</c:v>
                </c:pt>
                <c:pt idx="26">
                  <c:v>-66011.958855559526</c:v>
                </c:pt>
                <c:pt idx="27">
                  <c:v>-100009.0029145618</c:v>
                </c:pt>
                <c:pt idx="28">
                  <c:v>-136612.81747274043</c:v>
                </c:pt>
                <c:pt idx="29">
                  <c:v>-173426.19989557195</c:v>
                </c:pt>
                <c:pt idx="30">
                  <c:v>-227041.30969586593</c:v>
                </c:pt>
                <c:pt idx="31">
                  <c:v>-280754.49423802766</c:v>
                </c:pt>
                <c:pt idx="32">
                  <c:v>-331826.9499479087</c:v>
                </c:pt>
                <c:pt idx="33">
                  <c:v>-382605.52529197023</c:v>
                </c:pt>
                <c:pt idx="34">
                  <c:v>-436140.42043375259</c:v>
                </c:pt>
                <c:pt idx="35">
                  <c:v>-476190.16719224001</c:v>
                </c:pt>
                <c:pt idx="36">
                  <c:v>-413568.82201987354</c:v>
                </c:pt>
                <c:pt idx="37">
                  <c:v>-368298.7038101271</c:v>
                </c:pt>
                <c:pt idx="38">
                  <c:v>-319570.83053329459</c:v>
                </c:pt>
                <c:pt idx="39">
                  <c:v>-338462.6230005541</c:v>
                </c:pt>
                <c:pt idx="40">
                  <c:v>-357915.47819620132</c:v>
                </c:pt>
                <c:pt idx="41">
                  <c:v>-374889.41477697308</c:v>
                </c:pt>
                <c:pt idx="42">
                  <c:v>-289431.21796914178</c:v>
                </c:pt>
                <c:pt idx="43">
                  <c:v>-224312.06622402955</c:v>
                </c:pt>
                <c:pt idx="44">
                  <c:v>-153976.39243491928</c:v>
                </c:pt>
                <c:pt idx="45">
                  <c:v>-164555.54028763872</c:v>
                </c:pt>
                <c:pt idx="46">
                  <c:v>-189303.45863991737</c:v>
                </c:pt>
                <c:pt idx="47">
                  <c:v>-212535.85880104252</c:v>
                </c:pt>
                <c:pt idx="48">
                  <c:v>-136068.62298047735</c:v>
                </c:pt>
                <c:pt idx="49">
                  <c:v>-76097.753453217359</c:v>
                </c:pt>
                <c:pt idx="50">
                  <c:v>-17220.992362319397</c:v>
                </c:pt>
                <c:pt idx="51">
                  <c:v>-28610.510279487236</c:v>
                </c:pt>
                <c:pt idx="52">
                  <c:v>-41574.051204467571</c:v>
                </c:pt>
                <c:pt idx="53">
                  <c:v>-55671.824407044413</c:v>
                </c:pt>
                <c:pt idx="54">
                  <c:v>-19941.084040868933</c:v>
                </c:pt>
                <c:pt idx="55">
                  <c:v>-19941.084040868933</c:v>
                </c:pt>
                <c:pt idx="56">
                  <c:v>-19941.084040868933</c:v>
                </c:pt>
                <c:pt idx="57">
                  <c:v>-19941.084040868933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2B-284A-9614-B7357480AD6F}"/>
            </c:ext>
          </c:extLst>
        </c:ser>
        <c:ser>
          <c:idx val="3"/>
          <c:order val="3"/>
          <c:tx>
            <c:strRef>
              <c:f>'Resid - BCase Base CF'!$H$283</c:f>
              <c:strCache>
                <c:ptCount val="1"/>
                <c:pt idx="0">
                  <c:v> Margen </c:v>
                </c:pt>
              </c:strCache>
            </c:strRef>
          </c:tx>
          <c:spPr>
            <a:ln w="28575" cap="rnd">
              <a:solidFill>
                <a:schemeClr val="accent3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'Resid - BCase Base CF'!$I$279:$BN$279</c:f>
              <c:numCache>
                <c:formatCode>_-* #,##0\ _€_-;\-* #,##0\ _€_-;_-* "-"??\ _€_-;_-@_-</c:formatCode>
                <c:ptCount val="58"/>
                <c:pt idx="0">
                  <c:v>-6</c:v>
                </c:pt>
                <c:pt idx="1">
                  <c:v>-5</c:v>
                </c:pt>
                <c:pt idx="2">
                  <c:v>-4</c:v>
                </c:pt>
                <c:pt idx="3">
                  <c:v>-3</c:v>
                </c:pt>
                <c:pt idx="4">
                  <c:v>-2</c:v>
                </c:pt>
                <c:pt idx="5">
                  <c:v>-1</c:v>
                </c:pt>
                <c:pt idx="6">
                  <c:v>1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5</c:v>
                </c:pt>
                <c:pt idx="11">
                  <c:v>6</c:v>
                </c:pt>
                <c:pt idx="12">
                  <c:v>7</c:v>
                </c:pt>
                <c:pt idx="13">
                  <c:v>8</c:v>
                </c:pt>
                <c:pt idx="14">
                  <c:v>9</c:v>
                </c:pt>
                <c:pt idx="15">
                  <c:v>10</c:v>
                </c:pt>
                <c:pt idx="16">
                  <c:v>11</c:v>
                </c:pt>
                <c:pt idx="17">
                  <c:v>12</c:v>
                </c:pt>
                <c:pt idx="18">
                  <c:v>13</c:v>
                </c:pt>
                <c:pt idx="19">
                  <c:v>14</c:v>
                </c:pt>
                <c:pt idx="20">
                  <c:v>15</c:v>
                </c:pt>
                <c:pt idx="21">
                  <c:v>16</c:v>
                </c:pt>
                <c:pt idx="22">
                  <c:v>17</c:v>
                </c:pt>
                <c:pt idx="23">
                  <c:v>18</c:v>
                </c:pt>
                <c:pt idx="24">
                  <c:v>19</c:v>
                </c:pt>
                <c:pt idx="25">
                  <c:v>20</c:v>
                </c:pt>
                <c:pt idx="26">
                  <c:v>21</c:v>
                </c:pt>
                <c:pt idx="27">
                  <c:v>22</c:v>
                </c:pt>
                <c:pt idx="28">
                  <c:v>23</c:v>
                </c:pt>
                <c:pt idx="29">
                  <c:v>24</c:v>
                </c:pt>
                <c:pt idx="30">
                  <c:v>25</c:v>
                </c:pt>
                <c:pt idx="31">
                  <c:v>26</c:v>
                </c:pt>
                <c:pt idx="32">
                  <c:v>27</c:v>
                </c:pt>
                <c:pt idx="33">
                  <c:v>28</c:v>
                </c:pt>
                <c:pt idx="34">
                  <c:v>29</c:v>
                </c:pt>
                <c:pt idx="35">
                  <c:v>30</c:v>
                </c:pt>
                <c:pt idx="36">
                  <c:v>31</c:v>
                </c:pt>
                <c:pt idx="37">
                  <c:v>32</c:v>
                </c:pt>
                <c:pt idx="38">
                  <c:v>33</c:v>
                </c:pt>
                <c:pt idx="39">
                  <c:v>34</c:v>
                </c:pt>
                <c:pt idx="40">
                  <c:v>35</c:v>
                </c:pt>
                <c:pt idx="41">
                  <c:v>36</c:v>
                </c:pt>
                <c:pt idx="42">
                  <c:v>37</c:v>
                </c:pt>
                <c:pt idx="43">
                  <c:v>38</c:v>
                </c:pt>
                <c:pt idx="44">
                  <c:v>39</c:v>
                </c:pt>
                <c:pt idx="45">
                  <c:v>40</c:v>
                </c:pt>
                <c:pt idx="46">
                  <c:v>41</c:v>
                </c:pt>
                <c:pt idx="47">
                  <c:v>42</c:v>
                </c:pt>
                <c:pt idx="48">
                  <c:v>43</c:v>
                </c:pt>
                <c:pt idx="49">
                  <c:v>44</c:v>
                </c:pt>
                <c:pt idx="50">
                  <c:v>45</c:v>
                </c:pt>
                <c:pt idx="51">
                  <c:v>46</c:v>
                </c:pt>
                <c:pt idx="52">
                  <c:v>47</c:v>
                </c:pt>
                <c:pt idx="53">
                  <c:v>48</c:v>
                </c:pt>
                <c:pt idx="54">
                  <c:v>49</c:v>
                </c:pt>
                <c:pt idx="55">
                  <c:v>50</c:v>
                </c:pt>
                <c:pt idx="56">
                  <c:v>51</c:v>
                </c:pt>
                <c:pt idx="57">
                  <c:v>52</c:v>
                </c:pt>
              </c:numCache>
            </c:numRef>
          </c:cat>
          <c:val>
            <c:numRef>
              <c:f>'Resid - BCase Base CF'!$I$283:$BN$283</c:f>
              <c:numCache>
                <c:formatCode>_-* #,##0\ _€_-;\-* #,##0\ _€_-;_-* "-"??\ _€_-;_-@_-</c:formatCode>
                <c:ptCount val="58"/>
                <c:pt idx="0">
                  <c:v>-1943994.4</c:v>
                </c:pt>
                <c:pt idx="1">
                  <c:v>-1985697.688267251</c:v>
                </c:pt>
                <c:pt idx="2">
                  <c:v>-2076550.3307245444</c:v>
                </c:pt>
                <c:pt idx="3">
                  <c:v>-2167402.9731818372</c:v>
                </c:pt>
                <c:pt idx="4">
                  <c:v>-2277620.2813552343</c:v>
                </c:pt>
                <c:pt idx="5">
                  <c:v>-2387837.5895286314</c:v>
                </c:pt>
                <c:pt idx="6">
                  <c:v>-2456665.9678577823</c:v>
                </c:pt>
                <c:pt idx="7">
                  <c:v>-1849552.9922586291</c:v>
                </c:pt>
                <c:pt idx="8">
                  <c:v>-1461500.1393173186</c:v>
                </c:pt>
                <c:pt idx="9">
                  <c:v>-1028450.6119071995</c:v>
                </c:pt>
                <c:pt idx="10">
                  <c:v>-838246.17472706176</c:v>
                </c:pt>
                <c:pt idx="11">
                  <c:v>-748962.77218256891</c:v>
                </c:pt>
                <c:pt idx="12">
                  <c:v>-548571.42809720663</c:v>
                </c:pt>
                <c:pt idx="13">
                  <c:v>-401985.76091907127</c:v>
                </c:pt>
                <c:pt idx="14">
                  <c:v>-237879.10653787851</c:v>
                </c:pt>
                <c:pt idx="15">
                  <c:v>-51524.24383996008</c:v>
                </c:pt>
                <c:pt idx="16">
                  <c:v>80778.049155155197</c:v>
                </c:pt>
                <c:pt idx="17">
                  <c:v>280355.32901408523</c:v>
                </c:pt>
                <c:pt idx="18">
                  <c:v>477141.71549700201</c:v>
                </c:pt>
                <c:pt idx="19">
                  <c:v>644474.01657300722</c:v>
                </c:pt>
                <c:pt idx="20">
                  <c:v>807768.78155589476</c:v>
                </c:pt>
                <c:pt idx="21">
                  <c:v>895332.6387535166</c:v>
                </c:pt>
                <c:pt idx="22">
                  <c:v>967439.18848319165</c:v>
                </c:pt>
                <c:pt idx="23">
                  <c:v>1019206.4908784386</c:v>
                </c:pt>
                <c:pt idx="24">
                  <c:v>1029958.8448685305</c:v>
                </c:pt>
                <c:pt idx="25">
                  <c:v>1046310.7922280887</c:v>
                </c:pt>
                <c:pt idx="26">
                  <c:v>1063493.1877631405</c:v>
                </c:pt>
                <c:pt idx="27">
                  <c:v>1001299.5404262934</c:v>
                </c:pt>
                <c:pt idx="28">
                  <c:v>929717.05403109454</c:v>
                </c:pt>
                <c:pt idx="29">
                  <c:v>865989.81868612953</c:v>
                </c:pt>
                <c:pt idx="30">
                  <c:v>683093.23415050469</c:v>
                </c:pt>
                <c:pt idx="31">
                  <c:v>496185.78304124624</c:v>
                </c:pt>
                <c:pt idx="32">
                  <c:v>339915.08911952563</c:v>
                </c:pt>
                <c:pt idx="33">
                  <c:v>205972.58679236472</c:v>
                </c:pt>
                <c:pt idx="34">
                  <c:v>67258.634854264557</c:v>
                </c:pt>
                <c:pt idx="35">
                  <c:v>44803.385077934712</c:v>
                </c:pt>
                <c:pt idx="36">
                  <c:v>1091135.1103234254</c:v>
                </c:pt>
                <c:pt idx="37">
                  <c:v>1908493.6129653174</c:v>
                </c:pt>
                <c:pt idx="38">
                  <c:v>2762165.7246097829</c:v>
                </c:pt>
                <c:pt idx="39">
                  <c:v>2871013.9102805238</c:v>
                </c:pt>
                <c:pt idx="40">
                  <c:v>2989981.169622086</c:v>
                </c:pt>
                <c:pt idx="41">
                  <c:v>3123416.5816134028</c:v>
                </c:pt>
                <c:pt idx="42">
                  <c:v>4319891.5569630787</c:v>
                </c:pt>
                <c:pt idx="43">
                  <c:v>5253161.858538799</c:v>
                </c:pt>
                <c:pt idx="44">
                  <c:v>6228924.3408529051</c:v>
                </c:pt>
                <c:pt idx="45">
                  <c:v>6300556.9223293103</c:v>
                </c:pt>
                <c:pt idx="46">
                  <c:v>6220347.9926486649</c:v>
                </c:pt>
                <c:pt idx="47">
                  <c:v>6146460.1552073471</c:v>
                </c:pt>
                <c:pt idx="48">
                  <c:v>7088543.8643147908</c:v>
                </c:pt>
                <c:pt idx="49">
                  <c:v>7828022.3022750318</c:v>
                </c:pt>
                <c:pt idx="50">
                  <c:v>8577318.1240604632</c:v>
                </c:pt>
                <c:pt idx="51">
                  <c:v>8525687.2154299803</c:v>
                </c:pt>
                <c:pt idx="52">
                  <c:v>8461916.3920145743</c:v>
                </c:pt>
                <c:pt idx="53">
                  <c:v>8384030.0187231861</c:v>
                </c:pt>
                <c:pt idx="54">
                  <c:v>8890577.6811624654</c:v>
                </c:pt>
                <c:pt idx="55">
                  <c:v>9289011.4266541451</c:v>
                </c:pt>
                <c:pt idx="56">
                  <c:v>9703947.8149931505</c:v>
                </c:pt>
                <c:pt idx="57">
                  <c:v>9696905.8149931505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2B-284A-9614-B7357480AD6F}"/>
            </c:ext>
          </c:extLst>
        </c:ser>
        <c:ser>
          <c:idx val="4"/>
          <c:order val="4"/>
          <c:tx>
            <c:strRef>
              <c:f>'Resid - BCase Base CF'!$H$284</c:f>
              <c:strCache>
                <c:ptCount val="1"/>
                <c:pt idx="0">
                  <c:v> Mgen C/Leverage 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'Resid - BCase Base CF'!$I$279:$BN$279</c:f>
              <c:numCache>
                <c:formatCode>_-* #,##0\ _€_-;\-* #,##0\ _€_-;_-* "-"??\ _€_-;_-@_-</c:formatCode>
                <c:ptCount val="58"/>
                <c:pt idx="0">
                  <c:v>-6</c:v>
                </c:pt>
                <c:pt idx="1">
                  <c:v>-5</c:v>
                </c:pt>
                <c:pt idx="2">
                  <c:v>-4</c:v>
                </c:pt>
                <c:pt idx="3">
                  <c:v>-3</c:v>
                </c:pt>
                <c:pt idx="4">
                  <c:v>-2</c:v>
                </c:pt>
                <c:pt idx="5">
                  <c:v>-1</c:v>
                </c:pt>
                <c:pt idx="6">
                  <c:v>1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5</c:v>
                </c:pt>
                <c:pt idx="11">
                  <c:v>6</c:v>
                </c:pt>
                <c:pt idx="12">
                  <c:v>7</c:v>
                </c:pt>
                <c:pt idx="13">
                  <c:v>8</c:v>
                </c:pt>
                <c:pt idx="14">
                  <c:v>9</c:v>
                </c:pt>
                <c:pt idx="15">
                  <c:v>10</c:v>
                </c:pt>
                <c:pt idx="16">
                  <c:v>11</c:v>
                </c:pt>
                <c:pt idx="17">
                  <c:v>12</c:v>
                </c:pt>
                <c:pt idx="18">
                  <c:v>13</c:v>
                </c:pt>
                <c:pt idx="19">
                  <c:v>14</c:v>
                </c:pt>
                <c:pt idx="20">
                  <c:v>15</c:v>
                </c:pt>
                <c:pt idx="21">
                  <c:v>16</c:v>
                </c:pt>
                <c:pt idx="22">
                  <c:v>17</c:v>
                </c:pt>
                <c:pt idx="23">
                  <c:v>18</c:v>
                </c:pt>
                <c:pt idx="24">
                  <c:v>19</c:v>
                </c:pt>
                <c:pt idx="25">
                  <c:v>20</c:v>
                </c:pt>
                <c:pt idx="26">
                  <c:v>21</c:v>
                </c:pt>
                <c:pt idx="27">
                  <c:v>22</c:v>
                </c:pt>
                <c:pt idx="28">
                  <c:v>23</c:v>
                </c:pt>
                <c:pt idx="29">
                  <c:v>24</c:v>
                </c:pt>
                <c:pt idx="30">
                  <c:v>25</c:v>
                </c:pt>
                <c:pt idx="31">
                  <c:v>26</c:v>
                </c:pt>
                <c:pt idx="32">
                  <c:v>27</c:v>
                </c:pt>
                <c:pt idx="33">
                  <c:v>28</c:v>
                </c:pt>
                <c:pt idx="34">
                  <c:v>29</c:v>
                </c:pt>
                <c:pt idx="35">
                  <c:v>30</c:v>
                </c:pt>
                <c:pt idx="36">
                  <c:v>31</c:v>
                </c:pt>
                <c:pt idx="37">
                  <c:v>32</c:v>
                </c:pt>
                <c:pt idx="38">
                  <c:v>33</c:v>
                </c:pt>
                <c:pt idx="39">
                  <c:v>34</c:v>
                </c:pt>
                <c:pt idx="40">
                  <c:v>35</c:v>
                </c:pt>
                <c:pt idx="41">
                  <c:v>36</c:v>
                </c:pt>
                <c:pt idx="42">
                  <c:v>37</c:v>
                </c:pt>
                <c:pt idx="43">
                  <c:v>38</c:v>
                </c:pt>
                <c:pt idx="44">
                  <c:v>39</c:v>
                </c:pt>
                <c:pt idx="45">
                  <c:v>40</c:v>
                </c:pt>
                <c:pt idx="46">
                  <c:v>41</c:v>
                </c:pt>
                <c:pt idx="47">
                  <c:v>42</c:v>
                </c:pt>
                <c:pt idx="48">
                  <c:v>43</c:v>
                </c:pt>
                <c:pt idx="49">
                  <c:v>44</c:v>
                </c:pt>
                <c:pt idx="50">
                  <c:v>45</c:v>
                </c:pt>
                <c:pt idx="51">
                  <c:v>46</c:v>
                </c:pt>
                <c:pt idx="52">
                  <c:v>47</c:v>
                </c:pt>
                <c:pt idx="53">
                  <c:v>48</c:v>
                </c:pt>
                <c:pt idx="54">
                  <c:v>49</c:v>
                </c:pt>
                <c:pt idx="55">
                  <c:v>50</c:v>
                </c:pt>
                <c:pt idx="56">
                  <c:v>51</c:v>
                </c:pt>
                <c:pt idx="57">
                  <c:v>52</c:v>
                </c:pt>
              </c:numCache>
            </c:numRef>
          </c:cat>
          <c:val>
            <c:numRef>
              <c:f>'Resid - BCase Base CF'!$I$284:$BN$284</c:f>
              <c:numCache>
                <c:formatCode>_-* #,##0\ _€_-;\-* #,##0\ _€_-;_-* "-"??\ _€_-;_-@_-</c:formatCode>
                <c:ptCount val="58"/>
                <c:pt idx="0">
                  <c:v>-1943994.4</c:v>
                </c:pt>
                <c:pt idx="1">
                  <c:v>-1985697.688267251</c:v>
                </c:pt>
                <c:pt idx="2">
                  <c:v>-2076550.3307245444</c:v>
                </c:pt>
                <c:pt idx="3">
                  <c:v>-2167402.9731818377</c:v>
                </c:pt>
                <c:pt idx="4">
                  <c:v>-2277620.2813552343</c:v>
                </c:pt>
                <c:pt idx="5">
                  <c:v>-2387837.589528631</c:v>
                </c:pt>
                <c:pt idx="6">
                  <c:v>-2456665.9678577818</c:v>
                </c:pt>
                <c:pt idx="7">
                  <c:v>-1849552.9922586288</c:v>
                </c:pt>
                <c:pt idx="8">
                  <c:v>-1461500.1393173183</c:v>
                </c:pt>
                <c:pt idx="9">
                  <c:v>-1028450.6119071994</c:v>
                </c:pt>
                <c:pt idx="10">
                  <c:v>-838246.17472706176</c:v>
                </c:pt>
                <c:pt idx="11">
                  <c:v>-748962.77218256891</c:v>
                </c:pt>
                <c:pt idx="12">
                  <c:v>-548571.42809720663</c:v>
                </c:pt>
                <c:pt idx="13">
                  <c:v>-401985.76091907127</c:v>
                </c:pt>
                <c:pt idx="14">
                  <c:v>-237879.10653787886</c:v>
                </c:pt>
                <c:pt idx="15">
                  <c:v>-51524.243839960283</c:v>
                </c:pt>
                <c:pt idx="16">
                  <c:v>80778.049155155459</c:v>
                </c:pt>
                <c:pt idx="17">
                  <c:v>280355.32901408518</c:v>
                </c:pt>
                <c:pt idx="18">
                  <c:v>477141.71549700212</c:v>
                </c:pt>
                <c:pt idx="19">
                  <c:v>644474.01657300745</c:v>
                </c:pt>
                <c:pt idx="20">
                  <c:v>807768.78155589441</c:v>
                </c:pt>
                <c:pt idx="21">
                  <c:v>895332.63875351613</c:v>
                </c:pt>
                <c:pt idx="22">
                  <c:v>967439.18848319107</c:v>
                </c:pt>
                <c:pt idx="23">
                  <c:v>1019206.490878438</c:v>
                </c:pt>
                <c:pt idx="24">
                  <c:v>1029958.844868529</c:v>
                </c:pt>
                <c:pt idx="25">
                  <c:v>1046310.7922280873</c:v>
                </c:pt>
                <c:pt idx="26">
                  <c:v>1063493.1877631405</c:v>
                </c:pt>
                <c:pt idx="27">
                  <c:v>1001299.5404262925</c:v>
                </c:pt>
                <c:pt idx="28">
                  <c:v>929717.0540310957</c:v>
                </c:pt>
                <c:pt idx="29">
                  <c:v>865989.81868613116</c:v>
                </c:pt>
                <c:pt idx="30">
                  <c:v>683093.23415050609</c:v>
                </c:pt>
                <c:pt idx="31">
                  <c:v>496185.78304124763</c:v>
                </c:pt>
                <c:pt idx="32">
                  <c:v>339915.08911952749</c:v>
                </c:pt>
                <c:pt idx="33">
                  <c:v>205972.58679236664</c:v>
                </c:pt>
                <c:pt idx="34">
                  <c:v>67258.634854266507</c:v>
                </c:pt>
                <c:pt idx="35">
                  <c:v>44803.385077935098</c:v>
                </c:pt>
                <c:pt idx="36">
                  <c:v>1091135.1103234268</c:v>
                </c:pt>
                <c:pt idx="37">
                  <c:v>1908493.6129653156</c:v>
                </c:pt>
                <c:pt idx="38">
                  <c:v>2762165.7246097843</c:v>
                </c:pt>
                <c:pt idx="39">
                  <c:v>2871013.9102805266</c:v>
                </c:pt>
                <c:pt idx="40">
                  <c:v>2989981.1696220874</c:v>
                </c:pt>
                <c:pt idx="41">
                  <c:v>3123416.5816134047</c:v>
                </c:pt>
                <c:pt idx="42">
                  <c:v>4319891.5569630805</c:v>
                </c:pt>
                <c:pt idx="43">
                  <c:v>5253161.8585388046</c:v>
                </c:pt>
                <c:pt idx="44">
                  <c:v>6228924.3408529134</c:v>
                </c:pt>
                <c:pt idx="45">
                  <c:v>6300556.9223293178</c:v>
                </c:pt>
                <c:pt idx="46">
                  <c:v>6220347.9926486677</c:v>
                </c:pt>
                <c:pt idx="47">
                  <c:v>6146460.155207349</c:v>
                </c:pt>
                <c:pt idx="48">
                  <c:v>7088543.8643147955</c:v>
                </c:pt>
                <c:pt idx="49">
                  <c:v>7828022.3022750337</c:v>
                </c:pt>
                <c:pt idx="50">
                  <c:v>8577318.1240604669</c:v>
                </c:pt>
                <c:pt idx="51">
                  <c:v>8525687.2154299822</c:v>
                </c:pt>
                <c:pt idx="52">
                  <c:v>8461916.3920145743</c:v>
                </c:pt>
                <c:pt idx="53">
                  <c:v>8384030.0187231861</c:v>
                </c:pt>
                <c:pt idx="54">
                  <c:v>8890577.6811624654</c:v>
                </c:pt>
                <c:pt idx="55">
                  <c:v>9289011.426654147</c:v>
                </c:pt>
                <c:pt idx="56">
                  <c:v>9703947.8149931524</c:v>
                </c:pt>
                <c:pt idx="57">
                  <c:v>9696905.8149931524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E2B-284A-9614-B7357480A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4943424"/>
        <c:axId val="164940704"/>
      </c:lineChart>
      <c:catAx>
        <c:axId val="164943424"/>
        <c:scaling>
          <c:orientation val="minMax"/>
        </c:scaling>
        <c:delete val="0"/>
        <c:axPos val="b"/>
        <c:numFmt formatCode="_-* #,##0\ _€_-;\-* #,##0\ _€_-;_-* &quot;-&quot;??\ _€_-;_-@_-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AR"/>
          </a:p>
        </c:txPr>
        <c:crossAx val="164940704"/>
        <c:crosses val="autoZero"/>
        <c:auto val="1"/>
        <c:lblAlgn val="ctr"/>
        <c:lblOffset val="100"/>
        <c:noMultiLvlLbl val="0"/>
      </c:catAx>
      <c:valAx>
        <c:axId val="164940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\ _€_-;\-* #,##0\ _€_-;_-* &quot;-&quot;??\ _€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AR"/>
          </a:p>
        </c:txPr>
        <c:crossAx val="1649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A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A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726300</xdr:colOff>
      <xdr:row>0</xdr:row>
      <xdr:rowOff>0</xdr:rowOff>
    </xdr:from>
    <xdr:to>
      <xdr:col>18</xdr:col>
      <xdr:colOff>19842</xdr:colOff>
      <xdr:row>32</xdr:row>
      <xdr:rowOff>125354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38175" y="0"/>
          <a:ext cx="8897917" cy="5808604"/>
        </a:xfrm>
        <a:prstGeom prst="rect">
          <a:avLst/>
        </a:prstGeom>
      </xdr:spPr>
    </xdr:pic>
    <xdr:clientData/>
  </xdr:twoCellAnchor>
  <xdr:twoCellAnchor editAs="oneCell">
    <xdr:from>
      <xdr:col>8</xdr:col>
      <xdr:colOff>158750</xdr:colOff>
      <xdr:row>37</xdr:row>
      <xdr:rowOff>95250</xdr:rowOff>
    </xdr:from>
    <xdr:to>
      <xdr:col>17</xdr:col>
      <xdr:colOff>750092</xdr:colOff>
      <xdr:row>69</xdr:row>
      <xdr:rowOff>6301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143750" y="6651625"/>
          <a:ext cx="8449467" cy="54990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31752</xdr:rowOff>
    </xdr:from>
    <xdr:to>
      <xdr:col>8</xdr:col>
      <xdr:colOff>158750</xdr:colOff>
      <xdr:row>69</xdr:row>
      <xdr:rowOff>41522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7461252"/>
          <a:ext cx="7143750" cy="59470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571518</xdr:colOff>
      <xdr:row>0</xdr:row>
      <xdr:rowOff>116427</xdr:rowOff>
    </xdr:from>
    <xdr:to>
      <xdr:col>27</xdr:col>
      <xdr:colOff>185831</xdr:colOff>
      <xdr:row>32</xdr:row>
      <xdr:rowOff>70092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864435" y="116427"/>
          <a:ext cx="4016979" cy="5135265"/>
        </a:xfrm>
        <a:prstGeom prst="rect">
          <a:avLst/>
        </a:prstGeom>
      </xdr:spPr>
    </xdr:pic>
    <xdr:clientData/>
  </xdr:twoCellAnchor>
  <xdr:twoCellAnchor editAs="oneCell">
    <xdr:from>
      <xdr:col>20</xdr:col>
      <xdr:colOff>591361</xdr:colOff>
      <xdr:row>32</xdr:row>
      <xdr:rowOff>12</xdr:rowOff>
    </xdr:from>
    <xdr:to>
      <xdr:col>27</xdr:col>
      <xdr:colOff>197720</xdr:colOff>
      <xdr:row>54</xdr:row>
      <xdr:rowOff>113241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032444" y="5175262"/>
          <a:ext cx="4009026" cy="3630071"/>
        </a:xfrm>
        <a:prstGeom prst="rect">
          <a:avLst/>
        </a:prstGeom>
      </xdr:spPr>
    </xdr:pic>
    <xdr:clientData/>
  </xdr:twoCellAnchor>
  <xdr:twoCellAnchor editAs="oneCell">
    <xdr:from>
      <xdr:col>27</xdr:col>
      <xdr:colOff>306928</xdr:colOff>
      <xdr:row>0</xdr:row>
      <xdr:rowOff>158753</xdr:rowOff>
    </xdr:from>
    <xdr:to>
      <xdr:col>33</xdr:col>
      <xdr:colOff>292138</xdr:colOff>
      <xdr:row>32</xdr:row>
      <xdr:rowOff>34904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150678" y="158753"/>
          <a:ext cx="3915860" cy="5051401"/>
        </a:xfrm>
        <a:prstGeom prst="rect">
          <a:avLst/>
        </a:prstGeom>
      </xdr:spPr>
    </xdr:pic>
    <xdr:clientData/>
  </xdr:twoCellAnchor>
  <xdr:twoCellAnchor editAs="oneCell">
    <xdr:from>
      <xdr:col>27</xdr:col>
      <xdr:colOff>306929</xdr:colOff>
      <xdr:row>32</xdr:row>
      <xdr:rowOff>52925</xdr:rowOff>
    </xdr:from>
    <xdr:to>
      <xdr:col>33</xdr:col>
      <xdr:colOff>276442</xdr:colOff>
      <xdr:row>54</xdr:row>
      <xdr:rowOff>76006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150679" y="5228175"/>
          <a:ext cx="3900163" cy="35399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98425</xdr:colOff>
      <xdr:row>255</xdr:row>
      <xdr:rowOff>25400</xdr:rowOff>
    </xdr:from>
    <xdr:to>
      <xdr:col>11</xdr:col>
      <xdr:colOff>787401</xdr:colOff>
      <xdr:row>286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Trabajos/Area%20II/Monarca/Modelos/Ajustes%20con%20Fernando%20Gallino/WINDOWS/TEMP/Mis%20documentos/PROYECCI/DMSA/NUEEMS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Trabajos/Area%20II/Monarca/Modelos/Ajustes%20con%20Fernando%20Gallino/WINDOWS/TEMP/Mis%20documentos/Acciones/Holding/T&amp;D/T&amp;D-408'presupuesto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/Maxi%204-3-2002/WINDOWS/TEMP/Concesionarias/Automund/Flujos/MODBON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/Mis%20documentos/JPERALTA/AGROINDUSTRIA/temas%20especiales/INFO%20fky/EOAF/EOAF%20TITTARELLI%2031.10.0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ANTE/Adm.%20Ventas/Mis%20documentos/JPERALTA/AGROINDUSTRIA/temas%20especiales/INFO%20fky/EOAF/EOAF%20TITTARELLI%2031.10.0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ittarellivosa.com.ar/Mis%20documentos/JPERALTA/AGROINDUSTRIA/temas%20especiales/INFO%20fky/EOAF/EOAF%20TITTARELLI%2031.10.0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</sheetNames>
    <sheetDataSet>
      <sheetData sheetId="0" refreshError="1">
        <row r="74">
          <cell r="B74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uctura"/>
      <sheetName val="Gastos"/>
      <sheetName val="Impuestos"/>
      <sheetName val="Hoja2"/>
      <sheetName val="Presup"/>
      <sheetName val="Hoja1"/>
      <sheetName val="CF"/>
      <sheetName val="Gráfico2"/>
      <sheetName val="Terrenos"/>
      <sheetName val="Costos Proyectos"/>
      <sheetName val="PlanTrabajos"/>
      <sheetName val="Ctotal1"/>
      <sheetName val="Computo Obra Vial"/>
      <sheetName val="datos"/>
      <sheetName val="Precios Obra Vial"/>
      <sheetName val="Redes"/>
      <sheetName val="avance obra"/>
      <sheetName val="PTBANDAS"/>
    </sheetNames>
    <sheetDataSet>
      <sheetData sheetId="0"/>
      <sheetData sheetId="1"/>
      <sheetData sheetId="2"/>
      <sheetData sheetId="3"/>
      <sheetData sheetId="4" refreshError="1">
        <row r="31">
          <cell r="A31">
            <v>770</v>
          </cell>
          <cell r="B31">
            <v>872</v>
          </cell>
        </row>
        <row r="32">
          <cell r="B32">
            <v>5</v>
          </cell>
        </row>
      </sheetData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 refreshError="1">
        <row r="25">
          <cell r="B25">
            <v>150</v>
          </cell>
        </row>
        <row r="27">
          <cell r="B27">
            <v>95</v>
          </cell>
        </row>
        <row r="64">
          <cell r="B64">
            <v>50</v>
          </cell>
        </row>
        <row r="68">
          <cell r="B68">
            <v>10</v>
          </cell>
        </row>
        <row r="71">
          <cell r="B71">
            <v>11</v>
          </cell>
        </row>
        <row r="72">
          <cell r="B72">
            <v>0</v>
          </cell>
        </row>
        <row r="73">
          <cell r="B73">
            <v>10</v>
          </cell>
        </row>
        <row r="74">
          <cell r="B74">
            <v>10</v>
          </cell>
        </row>
        <row r="76">
          <cell r="B76">
            <v>0</v>
          </cell>
        </row>
        <row r="77">
          <cell r="B77">
            <v>0</v>
          </cell>
        </row>
        <row r="78">
          <cell r="B78">
            <v>0</v>
          </cell>
        </row>
        <row r="85">
          <cell r="B85">
            <v>7.0000000000000007E-2</v>
          </cell>
        </row>
        <row r="86">
          <cell r="B86">
            <v>0.05</v>
          </cell>
        </row>
      </sheetData>
      <sheetData sheetId="14"/>
      <sheetData sheetId="15"/>
      <sheetData sheetId="16"/>
      <sheetData sheetId="1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misas"/>
      <sheetName val="Modelo"/>
      <sheetName val="nucleo"/>
      <sheetName val="salidas I"/>
      <sheetName val="salidas II"/>
      <sheetName val="graficos"/>
      <sheetName val="IVA"/>
      <sheetName val="anexos"/>
      <sheetName val="Hoja14"/>
      <sheetName val="Hoja16"/>
      <sheetName val="Hoja17"/>
      <sheetName val="Módulo1"/>
      <sheetName val="Módulo2"/>
      <sheetName val="Módulo3"/>
      <sheetName val="Módulo4"/>
      <sheetName val="Módulo5"/>
      <sheetName val="Módulo6"/>
      <sheetName val="Módulo7"/>
      <sheetName val="Module1"/>
      <sheetName val="Módulo8"/>
      <sheetName val="Módulo9"/>
    </sheetNames>
    <sheetDataSet>
      <sheetData sheetId="0" refreshError="1"/>
      <sheetData sheetId="1" refreshError="1">
        <row r="117">
          <cell r="B117" t="str">
            <v>Cash Flow Proyectado (Método Directo)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 llave"/>
      <sheetName val="Controles"/>
      <sheetName val="Comparativo"/>
      <sheetName val="sit pat"/>
      <sheetName val="Asientos"/>
      <sheetName val="AxI"/>
      <sheetName val="RT 19"/>
      <sheetName val="RT9"/>
    </sheetNames>
    <sheetDataSet>
      <sheetData sheetId="0" refreshError="1"/>
      <sheetData sheetId="1" refreshError="1">
        <row r="21">
          <cell r="G21" t="str">
            <v>OK</v>
          </cell>
        </row>
        <row r="22">
          <cell r="G22" t="str">
            <v>OK</v>
          </cell>
        </row>
        <row r="23">
          <cell r="G23" t="str">
            <v>OK</v>
          </cell>
        </row>
        <row r="24">
          <cell r="G24" t="str">
            <v>OK</v>
          </cell>
        </row>
        <row r="25">
          <cell r="G25" t="str">
            <v>OK</v>
          </cell>
        </row>
        <row r="26">
          <cell r="G26" t="str">
            <v>OK</v>
          </cell>
        </row>
        <row r="27">
          <cell r="G27" t="str">
            <v>OK</v>
          </cell>
        </row>
        <row r="30">
          <cell r="G30" t="str">
            <v>OK</v>
          </cell>
        </row>
        <row r="31">
          <cell r="G31" t="str">
            <v>OK</v>
          </cell>
        </row>
        <row r="32">
          <cell r="G32" t="str">
            <v>OK</v>
          </cell>
        </row>
        <row r="33">
          <cell r="G33" t="str">
            <v>OK</v>
          </cell>
        </row>
        <row r="34">
          <cell r="G34" t="str">
            <v>OK</v>
          </cell>
        </row>
        <row r="35">
          <cell r="G35" t="str">
            <v>OK</v>
          </cell>
        </row>
        <row r="38">
          <cell r="G38" t="str">
            <v>OK</v>
          </cell>
        </row>
        <row r="39">
          <cell r="G39" t="str">
            <v>OK</v>
          </cell>
        </row>
        <row r="48">
          <cell r="B48" t="str">
            <v>Correcciones al resultado</v>
          </cell>
        </row>
        <row r="49">
          <cell r="B49" t="str">
            <v>Flujos operativos</v>
          </cell>
        </row>
        <row r="50">
          <cell r="B50" t="str">
            <v>Flujos de Inversión</v>
          </cell>
        </row>
        <row r="51">
          <cell r="B51" t="str">
            <v>Flujos financieros</v>
          </cell>
        </row>
      </sheetData>
      <sheetData sheetId="2" refreshError="1"/>
      <sheetData sheetId="3" refreshError="1"/>
      <sheetData sheetId="4" refreshError="1">
        <row r="11">
          <cell r="A11" t="str">
            <v>Bienes de Uso NC</v>
          </cell>
          <cell r="B11">
            <v>104638.68</v>
          </cell>
        </row>
        <row r="12">
          <cell r="A12" t="str">
            <v>Amortización de bs. de uso</v>
          </cell>
          <cell r="C12">
            <v>104638.68</v>
          </cell>
        </row>
        <row r="14">
          <cell r="A14" t="str">
            <v>Compras de bienes de uso</v>
          </cell>
        </row>
        <row r="15">
          <cell r="A15" t="str">
            <v>Bienes de Uso NC</v>
          </cell>
          <cell r="C15">
            <v>0</v>
          </cell>
        </row>
        <row r="17">
          <cell r="A17" t="str">
            <v>Bienes de Uso NC</v>
          </cell>
        </row>
        <row r="18">
          <cell r="A18" t="str">
            <v>Resultado venta de Bs. Uso</v>
          </cell>
        </row>
        <row r="19">
          <cell r="A19" t="str">
            <v>Ventas de bienes de uso</v>
          </cell>
          <cell r="C19">
            <v>0</v>
          </cell>
        </row>
        <row r="21">
          <cell r="A21" t="str">
            <v>Activos Intangibles NC</v>
          </cell>
          <cell r="B21">
            <v>80842.320000000007</v>
          </cell>
        </row>
        <row r="22">
          <cell r="A22" t="str">
            <v>Amortización de intangibles</v>
          </cell>
          <cell r="C22">
            <v>80842.320000000007</v>
          </cell>
        </row>
        <row r="24">
          <cell r="A24" t="str">
            <v>Activos Intangibles NC</v>
          </cell>
          <cell r="B24">
            <v>-33132</v>
          </cell>
        </row>
        <row r="25">
          <cell r="A25" t="str">
            <v>Resultado por tenencia</v>
          </cell>
          <cell r="C25">
            <v>-33132</v>
          </cell>
        </row>
        <row r="28">
          <cell r="A28" t="str">
            <v>Resultado Extraordianrio</v>
          </cell>
          <cell r="B28">
            <v>2623263</v>
          </cell>
        </row>
        <row r="29">
          <cell r="A29" t="str">
            <v>Otros Créditos</v>
          </cell>
          <cell r="C29">
            <v>2623263</v>
          </cell>
        </row>
        <row r="31">
          <cell r="A31" t="str">
            <v>Resultados no asignados</v>
          </cell>
          <cell r="B31">
            <v>1877119</v>
          </cell>
        </row>
        <row r="32">
          <cell r="A32" t="str">
            <v>AREA</v>
          </cell>
          <cell r="C32">
            <v>1877119</v>
          </cell>
        </row>
        <row r="37">
          <cell r="A37" t="str">
            <v>Concursal Otros</v>
          </cell>
          <cell r="B37">
            <v>540209</v>
          </cell>
        </row>
        <row r="38">
          <cell r="A38" t="str">
            <v>Otros Activos</v>
          </cell>
          <cell r="C38">
            <v>540209</v>
          </cell>
        </row>
        <row r="41">
          <cell r="A41" t="str">
            <v>Concursal Pacifico Tittarelli</v>
          </cell>
          <cell r="B41">
            <v>86001.79</v>
          </cell>
        </row>
        <row r="42">
          <cell r="A42" t="str">
            <v>Concursal DGR Sellos</v>
          </cell>
          <cell r="B42">
            <v>155961.495</v>
          </cell>
        </row>
        <row r="43">
          <cell r="A43" t="str">
            <v>Concursal Acuerdos 10%</v>
          </cell>
          <cell r="B43">
            <v>234858.03000000003</v>
          </cell>
        </row>
        <row r="44">
          <cell r="A44" t="str">
            <v>Concursal Otros</v>
          </cell>
          <cell r="B44">
            <v>87654.02</v>
          </cell>
        </row>
        <row r="45">
          <cell r="A45" t="str">
            <v>Resultado Extraordianrio</v>
          </cell>
          <cell r="C45">
            <v>564475.33499999996</v>
          </cell>
        </row>
        <row r="48">
          <cell r="A48" t="str">
            <v>Resultado Extraordianrio</v>
          </cell>
          <cell r="B48">
            <v>545683.96000000031</v>
          </cell>
        </row>
        <row r="49">
          <cell r="A49" t="str">
            <v>Concursal Otros</v>
          </cell>
          <cell r="C49">
            <v>545683.96000000031</v>
          </cell>
        </row>
        <row r="51">
          <cell r="A51" t="str">
            <v>Concursal AFIP</v>
          </cell>
        </row>
        <row r="52">
          <cell r="A52" t="str">
            <v>Concursal Otros</v>
          </cell>
          <cell r="C52">
            <v>0</v>
          </cell>
        </row>
        <row r="55">
          <cell r="A55" t="str">
            <v>Otros Créditos</v>
          </cell>
          <cell r="B55">
            <v>242363</v>
          </cell>
        </row>
        <row r="56">
          <cell r="A56" t="str">
            <v>Concursal AFIP</v>
          </cell>
          <cell r="C56">
            <v>242363</v>
          </cell>
        </row>
        <row r="60">
          <cell r="A60" t="str">
            <v>Deudas fiscales</v>
          </cell>
          <cell r="B60">
            <v>54913</v>
          </cell>
        </row>
        <row r="61">
          <cell r="A61" t="str">
            <v>Otros Créditos NC</v>
          </cell>
          <cell r="C61">
            <v>54913</v>
          </cell>
        </row>
        <row r="63">
          <cell r="A63" t="str">
            <v>Concursal AFIP</v>
          </cell>
          <cell r="B63">
            <v>14000</v>
          </cell>
        </row>
        <row r="64">
          <cell r="A64" t="str">
            <v>Intereses deuda Afip Concusal</v>
          </cell>
          <cell r="C64">
            <v>14000</v>
          </cell>
        </row>
        <row r="68">
          <cell r="A68" t="str">
            <v>Disponibilidades</v>
          </cell>
        </row>
        <row r="69">
          <cell r="A69" t="str">
            <v>Creditos por ventas</v>
          </cell>
        </row>
        <row r="70">
          <cell r="A70" t="str">
            <v>Otros Créditos</v>
          </cell>
        </row>
        <row r="71">
          <cell r="A71" t="str">
            <v>Bienes de Cambio</v>
          </cell>
        </row>
        <row r="72">
          <cell r="A72" t="str">
            <v>Otras deudas</v>
          </cell>
        </row>
        <row r="73">
          <cell r="A73" t="str">
            <v>Inversiones-no fondos</v>
          </cell>
        </row>
        <row r="74">
          <cell r="A74" t="str">
            <v>Otros Activos</v>
          </cell>
        </row>
        <row r="75">
          <cell r="A75" t="str">
            <v>RECPAM</v>
          </cell>
        </row>
        <row r="79">
          <cell r="A79" t="str">
            <v>Bienes de Cambio</v>
          </cell>
        </row>
        <row r="80">
          <cell r="A80" t="str">
            <v>Otros Créditos NC</v>
          </cell>
        </row>
        <row r="82">
          <cell r="A82" t="str">
            <v>Bienes de Cambio</v>
          </cell>
        </row>
        <row r="83">
          <cell r="A83" t="str">
            <v>Resultado por tenencia</v>
          </cell>
        </row>
        <row r="85">
          <cell r="A85" t="str">
            <v>Diferencia de cambio</v>
          </cell>
        </row>
        <row r="86">
          <cell r="A86" t="str">
            <v>Deuda financiera</v>
          </cell>
        </row>
        <row r="94">
          <cell r="A94" t="str">
            <v>Eliminaciones</v>
          </cell>
        </row>
        <row r="95">
          <cell r="A95" t="str">
            <v>Cuentas</v>
          </cell>
          <cell r="B95" t="str">
            <v>Debe</v>
          </cell>
          <cell r="C95" t="str">
            <v>Haber</v>
          </cell>
        </row>
        <row r="98">
          <cell r="A98" t="str">
            <v>Otros Créditos</v>
          </cell>
        </row>
        <row r="99">
          <cell r="A99" t="str">
            <v>Bienes de Cambio</v>
          </cell>
        </row>
        <row r="101">
          <cell r="A101" t="str">
            <v>Bienes de Cambio</v>
          </cell>
        </row>
        <row r="102">
          <cell r="A102" t="str">
            <v>Otros Créditos</v>
          </cell>
        </row>
        <row r="104">
          <cell r="A104" t="str">
            <v>Otros Créditos</v>
          </cell>
        </row>
        <row r="105">
          <cell r="A105" t="str">
            <v>Bienes de Cambio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 llave"/>
      <sheetName val="Controles"/>
      <sheetName val="Comparativo"/>
      <sheetName val="sit pat"/>
      <sheetName val="Asientos"/>
      <sheetName val="AxI"/>
      <sheetName val="RT 19"/>
      <sheetName val="RT9"/>
    </sheetNames>
    <sheetDataSet>
      <sheetData sheetId="0" refreshError="1"/>
      <sheetData sheetId="1" refreshError="1">
        <row r="48">
          <cell r="B48" t="str">
            <v>Correcciones al resultado</v>
          </cell>
        </row>
        <row r="49">
          <cell r="B49" t="str">
            <v>Flujos operativos</v>
          </cell>
        </row>
        <row r="50">
          <cell r="B50" t="str">
            <v>Flujos de Inversión</v>
          </cell>
        </row>
        <row r="51">
          <cell r="B51" t="str">
            <v>Flujos financieros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 llave"/>
      <sheetName val="Controles"/>
      <sheetName val="Comparativo"/>
      <sheetName val="sit pat"/>
      <sheetName val="Asientos"/>
      <sheetName val="AxI"/>
      <sheetName val="RT 19"/>
      <sheetName val="RT9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1">
          <cell r="B11">
            <v>104638.68</v>
          </cell>
        </row>
        <row r="21">
          <cell r="B21">
            <v>80842.320000000007</v>
          </cell>
        </row>
        <row r="24">
          <cell r="B24">
            <v>-33132</v>
          </cell>
        </row>
        <row r="28">
          <cell r="B28">
            <v>2623263</v>
          </cell>
        </row>
        <row r="31">
          <cell r="B31">
            <v>1877119</v>
          </cell>
        </row>
        <row r="37">
          <cell r="B37">
            <v>540209</v>
          </cell>
        </row>
        <row r="41">
          <cell r="B41">
            <v>86001.79</v>
          </cell>
        </row>
        <row r="42">
          <cell r="B42">
            <v>155961.495</v>
          </cell>
        </row>
        <row r="43">
          <cell r="B43">
            <v>234858.03000000003</v>
          </cell>
        </row>
        <row r="44">
          <cell r="B44">
            <v>87654.02</v>
          </cell>
        </row>
        <row r="48">
          <cell r="B48">
            <v>545683.96000000031</v>
          </cell>
        </row>
        <row r="55">
          <cell r="B55">
            <v>242363</v>
          </cell>
        </row>
        <row r="60">
          <cell r="B60">
            <v>54913</v>
          </cell>
        </row>
        <row r="63">
          <cell r="B63">
            <v>14000</v>
          </cell>
        </row>
        <row r="95">
          <cell r="B95" t="str">
            <v>Debe</v>
          </cell>
        </row>
      </sheetData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rgenprop.com/Creditos/Simulador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pageSetUpPr fitToPage="1"/>
  </sheetPr>
  <dimension ref="A1:G34"/>
  <sheetViews>
    <sheetView zoomScale="80" zoomScaleNormal="80" workbookViewId="0">
      <selection sqref="A1:R70"/>
    </sheetView>
  </sheetViews>
  <sheetFormatPr baseColWidth="10" defaultColWidth="11.5" defaultRowHeight="14"/>
  <cols>
    <col min="1" max="16384" width="11.5" style="151"/>
  </cols>
  <sheetData>
    <row r="1" spans="1:7" ht="19">
      <c r="A1" s="59" t="s">
        <v>102</v>
      </c>
    </row>
    <row r="2" spans="1:7">
      <c r="A2" s="496" t="s">
        <v>376</v>
      </c>
    </row>
    <row r="4" spans="1:7">
      <c r="A4" s="705" t="s">
        <v>368</v>
      </c>
    </row>
    <row r="5" spans="1:7">
      <c r="A5" s="706" t="s">
        <v>369</v>
      </c>
    </row>
    <row r="6" spans="1:7">
      <c r="A6" s="706" t="s">
        <v>370</v>
      </c>
    </row>
    <row r="7" spans="1:7">
      <c r="A7" s="706" t="s">
        <v>371</v>
      </c>
    </row>
    <row r="8" spans="1:7">
      <c r="A8" s="707"/>
    </row>
    <row r="9" spans="1:7">
      <c r="A9" s="705" t="s">
        <v>372</v>
      </c>
    </row>
    <row r="10" spans="1:7">
      <c r="A10" s="706" t="s">
        <v>373</v>
      </c>
      <c r="G10" s="497">
        <v>58.10526315789474</v>
      </c>
    </row>
    <row r="11" spans="1:7">
      <c r="A11" s="706" t="s">
        <v>374</v>
      </c>
    </row>
    <row r="12" spans="1:7">
      <c r="A12" s="706" t="s">
        <v>375</v>
      </c>
    </row>
    <row r="14" spans="1:7">
      <c r="F14" s="16"/>
    </row>
    <row r="15" spans="1:7">
      <c r="F15" s="16"/>
    </row>
    <row r="16" spans="1:7">
      <c r="C16" s="708" t="s">
        <v>278</v>
      </c>
      <c r="D16" s="708"/>
      <c r="E16" s="708" t="s">
        <v>279</v>
      </c>
      <c r="F16" s="16"/>
    </row>
    <row r="17" spans="1:6">
      <c r="A17" s="709" t="s">
        <v>275</v>
      </c>
      <c r="B17" s="15"/>
      <c r="C17" s="15">
        <v>820</v>
      </c>
      <c r="D17" s="15" t="s">
        <v>276</v>
      </c>
      <c r="E17" s="15">
        <v>116</v>
      </c>
      <c r="F17" s="16"/>
    </row>
    <row r="18" spans="1:6">
      <c r="A18" s="710"/>
      <c r="B18" s="17"/>
      <c r="C18" s="17">
        <f>2110-820</f>
        <v>1290</v>
      </c>
      <c r="D18" s="17" t="s">
        <v>277</v>
      </c>
      <c r="E18" s="17"/>
      <c r="F18" s="16"/>
    </row>
    <row r="19" spans="1:6">
      <c r="A19" s="711"/>
      <c r="F19" s="16"/>
    </row>
    <row r="20" spans="1:6">
      <c r="A20" s="712" t="s">
        <v>174</v>
      </c>
      <c r="B20" s="713"/>
      <c r="C20" s="713">
        <v>900</v>
      </c>
      <c r="D20" s="713" t="s">
        <v>277</v>
      </c>
      <c r="E20" s="713">
        <v>900</v>
      </c>
      <c r="F20" s="16"/>
    </row>
    <row r="21" spans="1:6">
      <c r="A21" s="711"/>
      <c r="F21" s="16"/>
    </row>
    <row r="22" spans="1:6">
      <c r="A22" s="712" t="s">
        <v>280</v>
      </c>
      <c r="B22" s="713"/>
      <c r="C22" s="713">
        <f>2856-C18-C20</f>
        <v>666</v>
      </c>
      <c r="D22" s="713" t="s">
        <v>277</v>
      </c>
      <c r="E22" s="713">
        <v>13248</v>
      </c>
      <c r="F22" s="108">
        <f>+E22/(C22+C24)</f>
        <v>0.81206325855093786</v>
      </c>
    </row>
    <row r="23" spans="1:6">
      <c r="A23" s="711"/>
      <c r="F23" s="16"/>
    </row>
    <row r="24" spans="1:6">
      <c r="A24" s="712" t="s">
        <v>281</v>
      </c>
      <c r="B24" s="713"/>
      <c r="C24" s="713">
        <v>15648</v>
      </c>
      <c r="D24" s="713" t="s">
        <v>282</v>
      </c>
      <c r="E24" s="713"/>
      <c r="F24" s="16"/>
    </row>
    <row r="25" spans="1:6" ht="15" thickBot="1">
      <c r="A25" s="714" t="s">
        <v>2</v>
      </c>
      <c r="B25" s="715"/>
      <c r="C25" s="714">
        <f>+C24+C22+C20+C19+C17+C18</f>
        <v>19324</v>
      </c>
      <c r="D25" s="714"/>
      <c r="E25" s="714">
        <f>+E22+E20</f>
        <v>14148</v>
      </c>
      <c r="F25" s="16"/>
    </row>
    <row r="26" spans="1:6" ht="15" thickTop="1">
      <c r="F26" s="16"/>
    </row>
    <row r="27" spans="1:6">
      <c r="F27" s="16"/>
    </row>
    <row r="28" spans="1:6">
      <c r="A28" s="713"/>
      <c r="B28" s="716" t="s">
        <v>287</v>
      </c>
      <c r="C28" s="716" t="s">
        <v>104</v>
      </c>
      <c r="F28" s="16"/>
    </row>
    <row r="29" spans="1:6">
      <c r="A29" s="151" t="s">
        <v>283</v>
      </c>
      <c r="B29" s="717">
        <v>0.22500000000000001</v>
      </c>
      <c r="C29" s="151">
        <v>10</v>
      </c>
      <c r="D29" s="718">
        <f>+C29*B29/$C$33</f>
        <v>0.28125</v>
      </c>
      <c r="F29" s="16"/>
    </row>
    <row r="30" spans="1:6">
      <c r="A30" s="151" t="s">
        <v>284</v>
      </c>
      <c r="B30" s="717">
        <v>0.27500000000000002</v>
      </c>
      <c r="C30" s="151">
        <v>8</v>
      </c>
      <c r="D30" s="718">
        <f>+C30*B30/$C$33</f>
        <v>0.27500000000000002</v>
      </c>
    </row>
    <row r="31" spans="1:6">
      <c r="A31" s="151" t="s">
        <v>285</v>
      </c>
      <c r="B31" s="717">
        <v>0.27500000000000002</v>
      </c>
      <c r="C31" s="151">
        <v>8</v>
      </c>
      <c r="D31" s="718">
        <f>+C31*B31/$C$33</f>
        <v>0.27500000000000002</v>
      </c>
    </row>
    <row r="32" spans="1:6">
      <c r="A32" s="151" t="s">
        <v>286</v>
      </c>
      <c r="B32" s="717">
        <v>0.22500000000000001</v>
      </c>
      <c r="C32" s="151">
        <v>6</v>
      </c>
      <c r="D32" s="718">
        <f>+C32*B32/$C$33</f>
        <v>0.16875000000000001</v>
      </c>
    </row>
    <row r="33" spans="1:6">
      <c r="A33" s="712"/>
      <c r="B33" s="719">
        <f>SUM(B29:B32)</f>
        <v>1</v>
      </c>
      <c r="C33" s="712">
        <v>8</v>
      </c>
      <c r="D33" s="720">
        <f>SUM(D29:D32)</f>
        <v>1</v>
      </c>
    </row>
    <row r="34" spans="1:6">
      <c r="A34" s="533"/>
      <c r="B34" s="533"/>
      <c r="C34" s="533"/>
      <c r="D34" s="533"/>
      <c r="E34" s="533"/>
      <c r="F34" s="533"/>
    </row>
  </sheetData>
  <printOptions horizontalCentered="1"/>
  <pageMargins left="0.25" right="0.25" top="0.75" bottom="0.75" header="0.3" footer="0.3"/>
  <pageSetup scale="5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6" tint="-0.499984740745262"/>
    <pageSetUpPr fitToPage="1"/>
  </sheetPr>
  <dimension ref="A1:BM133"/>
  <sheetViews>
    <sheetView zoomScaleNormal="100" workbookViewId="0">
      <selection sqref="A1:Q62"/>
    </sheetView>
  </sheetViews>
  <sheetFormatPr baseColWidth="10" defaultColWidth="11.5" defaultRowHeight="14"/>
  <cols>
    <col min="1" max="1" width="18.5" style="172" customWidth="1"/>
    <col min="2" max="3" width="10.33203125" style="172" bestFit="1" customWidth="1"/>
    <col min="4" max="4" width="10.83203125" style="172" bestFit="1" customWidth="1"/>
    <col min="5" max="5" width="13.5" style="172" customWidth="1"/>
    <col min="6" max="6" width="12.83203125" style="172" customWidth="1"/>
    <col min="7" max="7" width="13.1640625" style="172" bestFit="1" customWidth="1"/>
    <col min="8" max="9" width="10.33203125" style="172" bestFit="1" customWidth="1"/>
    <col min="10" max="10" width="12.1640625" style="172" bestFit="1" customWidth="1"/>
    <col min="11" max="11" width="9.83203125" style="172" customWidth="1"/>
    <col min="12" max="12" width="16.33203125" style="172" customWidth="1"/>
    <col min="13" max="13" width="10.6640625" style="172" bestFit="1" customWidth="1"/>
    <col min="14" max="14" width="11.1640625" style="172" bestFit="1" customWidth="1"/>
    <col min="15" max="15" width="11.33203125" style="172" bestFit="1" customWidth="1"/>
    <col min="16" max="16" width="10.5" style="172" bestFit="1" customWidth="1"/>
    <col min="17" max="17" width="11.1640625" style="172" customWidth="1"/>
    <col min="18" max="18" width="13" style="172" customWidth="1"/>
    <col min="19" max="19" width="13.1640625" style="172" bestFit="1" customWidth="1"/>
    <col min="20" max="20" width="11.33203125" style="172" customWidth="1"/>
    <col min="21" max="22" width="9.1640625" style="172" bestFit="1" customWidth="1"/>
    <col min="23" max="23" width="10.83203125" style="172" bestFit="1" customWidth="1"/>
    <col min="24" max="27" width="9.1640625" style="172" bestFit="1" customWidth="1"/>
    <col min="28" max="28" width="10" style="172" customWidth="1"/>
    <col min="29" max="29" width="10.33203125" style="172" customWidth="1"/>
    <col min="30" max="30" width="9.1640625" style="172" customWidth="1"/>
    <col min="31" max="35" width="9.6640625" style="172" customWidth="1"/>
    <col min="36" max="36" width="9.83203125" style="172" customWidth="1"/>
    <col min="37" max="37" width="9.6640625" style="172" customWidth="1"/>
    <col min="38" max="38" width="9.5" style="172" customWidth="1"/>
    <col min="39" max="40" width="9.6640625" style="172" customWidth="1"/>
    <col min="41" max="45" width="9.1640625" style="172" customWidth="1"/>
    <col min="46" max="46" width="9.1640625" style="172" bestFit="1" customWidth="1"/>
    <col min="47" max="50" width="5.6640625" style="172" customWidth="1"/>
    <col min="51" max="61" width="6.6640625" style="172" customWidth="1"/>
    <col min="62" max="63" width="5.6640625" style="172" customWidth="1"/>
    <col min="64" max="64" width="6.6640625" style="172" customWidth="1"/>
    <col min="65" max="149" width="9.1640625" style="172" bestFit="1" customWidth="1"/>
    <col min="150" max="16384" width="11.5" style="172"/>
  </cols>
  <sheetData>
    <row r="1" spans="1:54" ht="19">
      <c r="A1" s="59" t="s">
        <v>380</v>
      </c>
      <c r="B1" s="11"/>
      <c r="C1" s="1"/>
      <c r="D1" s="1"/>
      <c r="E1" s="1"/>
      <c r="F1" s="1"/>
      <c r="G1" s="1"/>
      <c r="H1" s="1"/>
      <c r="AU1" s="361"/>
    </row>
    <row r="2" spans="1:54">
      <c r="A2" s="498" t="s">
        <v>378</v>
      </c>
      <c r="B2" s="11"/>
      <c r="C2" s="1"/>
      <c r="D2" s="1"/>
      <c r="E2" s="1"/>
      <c r="F2" s="1"/>
      <c r="G2" s="1"/>
      <c r="H2" s="1"/>
      <c r="AU2" s="362"/>
    </row>
    <row r="3" spans="1:54">
      <c r="A3" s="11"/>
      <c r="B3" s="11"/>
      <c r="C3" s="1"/>
      <c r="D3" s="1"/>
      <c r="E3" s="1"/>
      <c r="F3" s="1"/>
      <c r="G3" s="1"/>
      <c r="H3" s="1"/>
      <c r="AU3" s="362"/>
    </row>
    <row r="4" spans="1:54">
      <c r="A4" s="7" t="s">
        <v>24</v>
      </c>
      <c r="B4" s="7"/>
      <c r="C4" s="1"/>
      <c r="D4" s="1"/>
      <c r="E4" s="1"/>
      <c r="F4" s="1"/>
      <c r="G4" s="1"/>
      <c r="H4" s="1"/>
      <c r="I4" s="29" t="s">
        <v>54</v>
      </c>
      <c r="J4" s="55"/>
      <c r="K4" s="55"/>
      <c r="L4" s="1"/>
      <c r="M4" s="1"/>
      <c r="N4" s="1"/>
      <c r="O4" s="4"/>
      <c r="AU4" s="14"/>
    </row>
    <row r="5" spans="1:54">
      <c r="A5" s="9" t="s">
        <v>166</v>
      </c>
      <c r="B5" s="9"/>
      <c r="C5" s="9"/>
      <c r="D5" s="9"/>
      <c r="E5" s="196">
        <f>48.62*56.47</f>
        <v>2745.5713999999998</v>
      </c>
      <c r="F5" s="9" t="s">
        <v>0</v>
      </c>
      <c r="G5" s="319"/>
      <c r="H5" s="1"/>
      <c r="I5" s="239" t="s">
        <v>210</v>
      </c>
      <c r="J5" s="10"/>
      <c r="K5" s="393" t="s">
        <v>237</v>
      </c>
      <c r="L5" s="395">
        <v>19.7</v>
      </c>
      <c r="M5" s="10"/>
      <c r="N5" s="394" t="s">
        <v>209</v>
      </c>
      <c r="O5" s="372">
        <v>39</v>
      </c>
      <c r="AU5" s="361"/>
    </row>
    <row r="6" spans="1:54">
      <c r="A6" s="10"/>
      <c r="B6" s="10"/>
      <c r="C6" s="10"/>
      <c r="D6" s="318"/>
      <c r="E6" s="298"/>
      <c r="F6" s="10"/>
      <c r="G6" s="319"/>
      <c r="H6" s="1"/>
      <c r="I6" s="6" t="s">
        <v>207</v>
      </c>
      <c r="J6" s="6"/>
      <c r="K6" s="215" t="str">
        <f>+K5</f>
        <v>Ene'18</v>
      </c>
      <c r="L6" s="396">
        <v>21.64</v>
      </c>
      <c r="N6" s="175" t="s">
        <v>209</v>
      </c>
      <c r="O6" s="374">
        <v>26.62</v>
      </c>
      <c r="AU6" s="361"/>
    </row>
    <row r="7" spans="1:54">
      <c r="A7" s="10" t="s">
        <v>171</v>
      </c>
      <c r="B7" s="10"/>
      <c r="C7" s="10"/>
      <c r="D7" s="10"/>
      <c r="E7" s="369">
        <v>9</v>
      </c>
      <c r="F7" s="10" t="s">
        <v>104</v>
      </c>
      <c r="G7" s="1"/>
      <c r="H7" s="1"/>
      <c r="I7" s="371" t="s">
        <v>208</v>
      </c>
      <c r="J7" s="371"/>
      <c r="K7" s="371"/>
      <c r="L7" s="397">
        <f>+L5/L6</f>
        <v>0.91035120147874304</v>
      </c>
      <c r="M7" s="370"/>
      <c r="N7" s="370"/>
      <c r="O7" s="373">
        <v>1</v>
      </c>
      <c r="AU7" s="361"/>
    </row>
    <row r="8" spans="1:54">
      <c r="A8" s="6" t="s">
        <v>170</v>
      </c>
      <c r="B8" s="6"/>
      <c r="C8" s="6"/>
      <c r="D8" s="367">
        <f>+E8/E5</f>
        <v>6.2697331418880609</v>
      </c>
      <c r="E8" s="13">
        <f>+MCCA!C24+MCCA!C22+MCCA!C20</f>
        <v>17214</v>
      </c>
      <c r="F8" s="6" t="s">
        <v>0</v>
      </c>
      <c r="G8" s="473" t="s">
        <v>205</v>
      </c>
      <c r="H8" s="1"/>
      <c r="I8" s="20" t="s">
        <v>59</v>
      </c>
      <c r="J8" s="4"/>
      <c r="K8" s="4"/>
      <c r="L8" s="4"/>
      <c r="M8" s="4"/>
      <c r="N8" s="2"/>
      <c r="O8" s="192">
        <v>1.7999999999999999E-2</v>
      </c>
      <c r="P8" s="99" t="s">
        <v>106</v>
      </c>
    </row>
    <row r="9" spans="1:54">
      <c r="A9" s="8" t="s">
        <v>288</v>
      </c>
      <c r="B9" s="8"/>
      <c r="C9" s="8"/>
      <c r="D9" s="368">
        <f>+E9/E8</f>
        <v>0.82188915998605783</v>
      </c>
      <c r="E9" s="499">
        <f>+MCCA!E25</f>
        <v>14148</v>
      </c>
      <c r="F9" s="8" t="s">
        <v>0</v>
      </c>
      <c r="G9" s="6"/>
      <c r="H9" s="1"/>
      <c r="I9" s="20" t="s">
        <v>22</v>
      </c>
      <c r="J9" s="4"/>
      <c r="K9" s="4"/>
      <c r="L9" s="4"/>
      <c r="M9" s="4"/>
      <c r="N9" s="2"/>
      <c r="O9" s="192">
        <v>0.04</v>
      </c>
      <c r="P9" s="99" t="s">
        <v>107</v>
      </c>
    </row>
    <row r="10" spans="1:54" s="170" customFormat="1">
      <c r="A10" s="500" t="s">
        <v>203</v>
      </c>
      <c r="B10" s="3"/>
      <c r="C10" s="3"/>
      <c r="D10" s="10"/>
      <c r="E10" s="58"/>
      <c r="F10" s="30"/>
      <c r="G10" s="6"/>
      <c r="H10" s="6"/>
      <c r="I10" s="23" t="s">
        <v>12</v>
      </c>
      <c r="J10" s="5"/>
      <c r="K10" s="4"/>
      <c r="L10" s="4"/>
      <c r="M10" s="4"/>
      <c r="N10" s="2"/>
      <c r="O10" s="193">
        <v>6.0000000000000001E-3</v>
      </c>
      <c r="P10" s="172"/>
      <c r="Q10" s="172"/>
    </row>
    <row r="11" spans="1:54" s="170" customFormat="1">
      <c r="H11" s="6"/>
      <c r="I11" s="239" t="s">
        <v>33</v>
      </c>
      <c r="J11" s="10"/>
      <c r="K11" s="10"/>
      <c r="L11" s="10"/>
      <c r="M11" s="3"/>
      <c r="N11" s="3"/>
      <c r="O11" s="194">
        <v>0.21</v>
      </c>
      <c r="Q11" s="172"/>
    </row>
    <row r="12" spans="1:54" s="170" customFormat="1">
      <c r="A12" s="7" t="s">
        <v>169</v>
      </c>
      <c r="B12" s="6"/>
      <c r="C12" s="6"/>
      <c r="D12" s="6"/>
      <c r="E12" s="6"/>
      <c r="F12" s="6"/>
      <c r="H12" s="6"/>
      <c r="I12" s="240" t="s">
        <v>19</v>
      </c>
      <c r="J12" s="6"/>
      <c r="K12" s="6"/>
      <c r="L12" s="6"/>
      <c r="M12" s="4"/>
      <c r="N12" s="4"/>
      <c r="O12" s="195">
        <v>0.15</v>
      </c>
      <c r="P12" s="215" t="s">
        <v>211</v>
      </c>
    </row>
    <row r="13" spans="1:54" s="170" customFormat="1">
      <c r="A13" s="10" t="s">
        <v>53</v>
      </c>
      <c r="B13" s="10"/>
      <c r="C13" s="10"/>
      <c r="D13" s="10"/>
      <c r="E13" s="230">
        <v>100</v>
      </c>
      <c r="F13" s="10" t="s">
        <v>204</v>
      </c>
      <c r="G13" s="473" t="s">
        <v>205</v>
      </c>
      <c r="I13" s="241" t="s">
        <v>34</v>
      </c>
      <c r="J13" s="8"/>
      <c r="K13" s="8"/>
      <c r="L13" s="5"/>
      <c r="M13" s="231">
        <v>0.105</v>
      </c>
      <c r="N13" s="181">
        <v>0.15</v>
      </c>
      <c r="O13" s="31">
        <f>+M13*(1-N13)</f>
        <v>8.9249999999999996E-2</v>
      </c>
      <c r="P13" s="375">
        <f>+'Resid - BCase Base CF'!C51/'Resid - BCase Base CF'!C94</f>
        <v>9.0803775048542895E-2</v>
      </c>
    </row>
    <row r="14" spans="1:54" s="170" customFormat="1">
      <c r="A14" s="6" t="s">
        <v>135</v>
      </c>
      <c r="B14" s="6"/>
      <c r="C14" s="6"/>
      <c r="D14" s="6"/>
      <c r="E14" s="6">
        <f>+E13*E33</f>
        <v>1932400</v>
      </c>
      <c r="F14" s="6" t="s">
        <v>3</v>
      </c>
      <c r="G14" s="215">
        <f>+E14*O7</f>
        <v>1932400</v>
      </c>
      <c r="H14" s="215" t="s">
        <v>206</v>
      </c>
      <c r="I14" s="306" t="s">
        <v>35</v>
      </c>
      <c r="J14" s="6"/>
      <c r="K14" s="6"/>
      <c r="L14" s="6"/>
      <c r="M14" s="6"/>
      <c r="O14" s="6"/>
    </row>
    <row r="15" spans="1:54" s="170" customFormat="1">
      <c r="A15" s="8" t="s">
        <v>136</v>
      </c>
      <c r="B15" s="8"/>
      <c r="C15" s="8"/>
      <c r="D15" s="231">
        <v>0.03</v>
      </c>
      <c r="E15" s="8">
        <f>+D15*E14</f>
        <v>57972</v>
      </c>
      <c r="F15" s="8" t="s">
        <v>206</v>
      </c>
      <c r="G15" s="6"/>
      <c r="H15" s="6"/>
    </row>
    <row r="16" spans="1:54" s="170" customFormat="1">
      <c r="G16" s="6"/>
      <c r="H16" s="6"/>
      <c r="I16" s="240"/>
      <c r="J16" s="6"/>
      <c r="K16" s="6"/>
      <c r="L16" s="4"/>
      <c r="M16" s="4"/>
      <c r="N16" s="190"/>
      <c r="O16" s="189"/>
      <c r="AS16" s="365"/>
      <c r="AT16" s="365"/>
      <c r="AU16" s="365"/>
      <c r="AV16" s="365"/>
      <c r="AW16" s="365"/>
      <c r="AX16" s="365"/>
      <c r="AY16" s="365"/>
      <c r="AZ16" s="365"/>
      <c r="BA16" s="365"/>
      <c r="BB16" s="365"/>
    </row>
    <row r="17" spans="1:54" s="170" customFormat="1">
      <c r="G17" s="6"/>
      <c r="H17" s="6"/>
      <c r="I17" s="18" t="s">
        <v>20</v>
      </c>
      <c r="J17" s="6"/>
      <c r="K17" s="6"/>
      <c r="L17" s="6"/>
      <c r="M17" s="6"/>
      <c r="N17" s="6"/>
      <c r="O17" s="6"/>
      <c r="AS17" s="365"/>
      <c r="AT17" s="365"/>
      <c r="AU17" s="365"/>
      <c r="AV17" s="365"/>
      <c r="AW17" s="365"/>
      <c r="AX17" s="365"/>
      <c r="AY17" s="365"/>
      <c r="AZ17" s="365"/>
      <c r="BA17" s="365"/>
      <c r="BB17" s="365"/>
    </row>
    <row r="18" spans="1:54" s="180" customFormat="1">
      <c r="A18" s="388" t="s">
        <v>212</v>
      </c>
      <c r="B18" s="335"/>
      <c r="C18" s="335"/>
      <c r="D18" s="335"/>
      <c r="E18" s="335"/>
      <c r="F18" s="335"/>
      <c r="I18" s="307" t="s">
        <v>110</v>
      </c>
      <c r="J18" s="298"/>
      <c r="K18" s="179"/>
      <c r="L18" s="179"/>
      <c r="M18" s="204">
        <v>1.4999999999999999E-2</v>
      </c>
      <c r="N18" s="222" t="s">
        <v>57</v>
      </c>
      <c r="O18" s="187"/>
      <c r="P18" s="170"/>
      <c r="Q18" s="170"/>
      <c r="U18" s="170"/>
      <c r="V18" s="170"/>
      <c r="AS18" s="366"/>
      <c r="AT18" s="366"/>
      <c r="AU18" s="366"/>
      <c r="AV18" s="366"/>
      <c r="AW18" s="366"/>
      <c r="AX18" s="366"/>
      <c r="AY18" s="366"/>
      <c r="AZ18" s="366"/>
      <c r="BA18" s="366"/>
      <c r="BB18" s="366"/>
    </row>
    <row r="19" spans="1:54" s="180" customFormat="1" ht="13.5" customHeight="1">
      <c r="A19" s="389" t="s">
        <v>4</v>
      </c>
      <c r="B19" s="564" t="s">
        <v>218</v>
      </c>
      <c r="C19" s="564"/>
      <c r="D19" s="564"/>
      <c r="E19" s="565" t="s">
        <v>225</v>
      </c>
      <c r="F19" s="565"/>
      <c r="G19" s="172"/>
      <c r="H19" s="172"/>
      <c r="I19" s="202" t="s">
        <v>108</v>
      </c>
      <c r="J19" s="299"/>
      <c r="K19" s="14"/>
      <c r="L19" s="14"/>
      <c r="M19" s="201">
        <v>0.04</v>
      </c>
      <c r="N19" s="223" t="s">
        <v>57</v>
      </c>
      <c r="O19" s="171"/>
      <c r="P19" s="215">
        <f>+M19*($L$76+$L$78+$L$80+$L$69)/$K$81</f>
        <v>30.294738138273651</v>
      </c>
      <c r="Q19" s="215" t="s">
        <v>176</v>
      </c>
      <c r="U19" s="419"/>
      <c r="V19" s="183"/>
      <c r="AS19" s="366"/>
      <c r="AT19" s="366"/>
      <c r="AU19" s="366"/>
      <c r="AV19" s="366"/>
      <c r="AW19" s="366"/>
      <c r="AX19" s="366"/>
      <c r="AY19" s="366"/>
      <c r="AZ19" s="366"/>
      <c r="BA19" s="366"/>
      <c r="BB19" s="366"/>
    </row>
    <row r="20" spans="1:54" s="180" customFormat="1">
      <c r="A20" s="390"/>
      <c r="B20" s="433" t="s">
        <v>219</v>
      </c>
      <c r="C20" s="433" t="s">
        <v>220</v>
      </c>
      <c r="D20" s="433" t="s">
        <v>221</v>
      </c>
      <c r="E20" s="431" t="s">
        <v>222</v>
      </c>
      <c r="F20" s="431" t="s">
        <v>223</v>
      </c>
      <c r="G20" s="172"/>
      <c r="H20" s="172"/>
      <c r="I20" s="202" t="s">
        <v>109</v>
      </c>
      <c r="J20" s="299"/>
      <c r="K20" s="14"/>
      <c r="L20" s="14"/>
      <c r="M20" s="201">
        <v>0.03</v>
      </c>
      <c r="N20" s="223" t="s">
        <v>57</v>
      </c>
      <c r="O20" s="171"/>
      <c r="P20" s="215">
        <f>+M20*($L$76+$L$78+$L$80+$L$69)/$K$81</f>
        <v>22.721053603705236</v>
      </c>
      <c r="Q20" s="215" t="str">
        <f>+Q19</f>
        <v>USD/m2 Constr.</v>
      </c>
      <c r="U20" s="419"/>
      <c r="V20" s="184"/>
      <c r="AS20" s="366"/>
      <c r="AT20" s="366"/>
      <c r="AU20" s="366"/>
      <c r="AV20" s="366"/>
      <c r="AW20" s="366"/>
      <c r="AX20" s="366"/>
      <c r="AY20" s="366"/>
      <c r="AZ20" s="366"/>
      <c r="BA20" s="366"/>
      <c r="BB20" s="366"/>
    </row>
    <row r="21" spans="1:54" s="180" customFormat="1">
      <c r="A21" s="2" t="s">
        <v>213</v>
      </c>
      <c r="B21" s="434"/>
      <c r="C21" s="434"/>
      <c r="D21" s="434"/>
      <c r="E21" s="432"/>
      <c r="F21" s="432"/>
      <c r="G21" s="172"/>
      <c r="H21" s="172"/>
      <c r="I21" s="202" t="s">
        <v>55</v>
      </c>
      <c r="J21" s="299"/>
      <c r="K21" s="14"/>
      <c r="L21" s="14"/>
      <c r="M21" s="201">
        <v>8.0000000000000002E-3</v>
      </c>
      <c r="N21" s="223" t="s">
        <v>57</v>
      </c>
      <c r="O21" s="171"/>
      <c r="P21" s="173"/>
      <c r="Q21" s="182"/>
      <c r="U21" s="183"/>
      <c r="V21" s="184"/>
      <c r="AS21" s="366"/>
      <c r="AT21" s="366"/>
      <c r="AU21" s="366"/>
      <c r="AV21" s="366"/>
      <c r="AW21" s="366"/>
      <c r="AX21" s="366"/>
      <c r="AY21" s="366"/>
      <c r="AZ21" s="366"/>
      <c r="BA21" s="366"/>
      <c r="BB21" s="366"/>
    </row>
    <row r="22" spans="1:54" s="180" customFormat="1">
      <c r="A22" s="2" t="s">
        <v>214</v>
      </c>
      <c r="B22" s="434"/>
      <c r="C22" s="434"/>
      <c r="D22" s="434"/>
      <c r="E22" s="432"/>
      <c r="F22" s="432"/>
      <c r="G22" s="172"/>
      <c r="H22" s="172"/>
      <c r="I22" s="308" t="s">
        <v>50</v>
      </c>
      <c r="J22" s="309"/>
      <c r="K22" s="226"/>
      <c r="L22" s="226"/>
      <c r="M22" s="227">
        <v>7000</v>
      </c>
      <c r="N22" s="228" t="s">
        <v>113</v>
      </c>
      <c r="O22" s="229"/>
      <c r="P22" s="173"/>
      <c r="Q22" s="182"/>
      <c r="U22" s="183"/>
      <c r="V22" s="184"/>
      <c r="AK22" s="401"/>
      <c r="AS22" s="366"/>
      <c r="AT22" s="366"/>
      <c r="AU22" s="366"/>
      <c r="AV22" s="366"/>
      <c r="AW22" s="366"/>
      <c r="AX22" s="366"/>
      <c r="AY22" s="366"/>
      <c r="AZ22" s="366"/>
      <c r="BA22" s="366"/>
      <c r="BB22" s="366"/>
    </row>
    <row r="23" spans="1:54" s="180" customFormat="1">
      <c r="A23" s="2" t="s">
        <v>216</v>
      </c>
      <c r="B23" s="434"/>
      <c r="C23" s="434"/>
      <c r="D23" s="434"/>
      <c r="E23" s="432"/>
      <c r="F23" s="432"/>
      <c r="G23" s="172"/>
      <c r="H23" s="172"/>
      <c r="I23" s="202" t="s">
        <v>114</v>
      </c>
      <c r="J23" s="299"/>
      <c r="K23" s="14"/>
      <c r="L23" s="14"/>
      <c r="M23" s="203">
        <v>7.4999999999999997E-3</v>
      </c>
      <c r="N23" s="223" t="s">
        <v>58</v>
      </c>
      <c r="O23" s="171"/>
      <c r="P23" s="173"/>
      <c r="Q23" s="182"/>
      <c r="U23" s="183"/>
      <c r="V23" s="184"/>
      <c r="AS23" s="366"/>
      <c r="AT23" s="366"/>
      <c r="AU23" s="366"/>
      <c r="AV23" s="366"/>
      <c r="AW23" s="366"/>
      <c r="AX23" s="366"/>
      <c r="AY23" s="366"/>
      <c r="AZ23" s="366"/>
      <c r="BA23" s="366"/>
      <c r="BB23" s="366"/>
    </row>
    <row r="24" spans="1:54" s="180" customFormat="1">
      <c r="A24" s="2" t="s">
        <v>217</v>
      </c>
      <c r="B24" s="434"/>
      <c r="C24" s="434"/>
      <c r="D24" s="434"/>
      <c r="E24" s="432"/>
      <c r="F24" s="432"/>
      <c r="G24" s="172"/>
      <c r="H24" s="172"/>
      <c r="I24" s="202" t="s">
        <v>111</v>
      </c>
      <c r="J24" s="299"/>
      <c r="K24" s="14"/>
      <c r="L24" s="14"/>
      <c r="M24" s="201">
        <v>1.2E-2</v>
      </c>
      <c r="N24" s="223" t="s">
        <v>58</v>
      </c>
      <c r="O24" s="171"/>
      <c r="P24" s="173"/>
      <c r="Q24" s="182"/>
      <c r="U24" s="183"/>
      <c r="V24" s="184"/>
      <c r="AS24" s="366"/>
      <c r="AT24" s="366"/>
      <c r="AU24" s="366"/>
      <c r="AV24" s="366"/>
      <c r="AW24" s="366"/>
      <c r="AX24" s="366"/>
      <c r="AY24" s="366"/>
      <c r="AZ24" s="366"/>
      <c r="BA24" s="366"/>
      <c r="BB24" s="366"/>
    </row>
    <row r="25" spans="1:54" s="180" customFormat="1">
      <c r="A25" s="391" t="s">
        <v>215</v>
      </c>
      <c r="B25" s="435"/>
      <c r="C25" s="503">
        <v>3</v>
      </c>
      <c r="D25" s="503">
        <f>+$F$47*MCCA!D29</f>
        <v>32.625</v>
      </c>
      <c r="E25" s="506">
        <f>+(MCCA!$C$17+MCCA!$C$18+MCCA!$C$20)*MCCA!D29</f>
        <v>846.5625</v>
      </c>
      <c r="F25" s="506">
        <f>0.2*E38</f>
        <v>180</v>
      </c>
      <c r="G25" s="172"/>
      <c r="H25" s="172"/>
      <c r="I25" s="202" t="s">
        <v>112</v>
      </c>
      <c r="J25" s="299"/>
      <c r="K25" s="14"/>
      <c r="L25" s="14"/>
      <c r="M25" s="201">
        <v>1.2E-2</v>
      </c>
      <c r="N25" s="223" t="s">
        <v>115</v>
      </c>
      <c r="O25" s="171"/>
      <c r="P25" s="173"/>
      <c r="Q25" s="182"/>
      <c r="U25" s="183"/>
      <c r="V25" s="184"/>
      <c r="AS25" s="366"/>
      <c r="AT25" s="366"/>
      <c r="AU25" s="366"/>
      <c r="AV25" s="366"/>
      <c r="AW25" s="366"/>
      <c r="AX25" s="366"/>
      <c r="AY25" s="366"/>
      <c r="AZ25" s="366"/>
      <c r="BA25" s="366"/>
      <c r="BB25" s="366"/>
    </row>
    <row r="26" spans="1:54" s="180" customFormat="1">
      <c r="A26" s="4" t="s">
        <v>228</v>
      </c>
      <c r="B26" s="436"/>
      <c r="C26" s="504">
        <v>7</v>
      </c>
      <c r="D26" s="504">
        <f>+$F$47*MCCA!D30</f>
        <v>31.900000000000002</v>
      </c>
      <c r="E26" s="507">
        <f>+(MCCA!$C$17+MCCA!$C$18+MCCA!$C$20)*MCCA!D30</f>
        <v>827.75000000000011</v>
      </c>
      <c r="F26" s="507">
        <f>0.2*E38+0.3*E38</f>
        <v>450</v>
      </c>
      <c r="G26" s="172"/>
      <c r="H26" s="172"/>
      <c r="I26" s="202" t="s">
        <v>56</v>
      </c>
      <c r="J26" s="299"/>
      <c r="K26" s="13"/>
      <c r="L26" s="13"/>
      <c r="M26" s="201">
        <v>0</v>
      </c>
      <c r="N26" s="223" t="s">
        <v>58</v>
      </c>
      <c r="O26" s="171"/>
      <c r="P26" s="173"/>
      <c r="Q26" s="182"/>
      <c r="U26" s="183"/>
      <c r="V26" s="184"/>
      <c r="AS26" s="366"/>
      <c r="AT26" s="366"/>
      <c r="AU26" s="366"/>
      <c r="AV26" s="366"/>
      <c r="AW26" s="366"/>
      <c r="AX26" s="366"/>
      <c r="AY26" s="366"/>
      <c r="AZ26" s="366"/>
      <c r="BA26" s="366"/>
      <c r="BB26" s="366"/>
    </row>
    <row r="27" spans="1:54" s="180" customFormat="1">
      <c r="A27" s="4" t="s">
        <v>229</v>
      </c>
      <c r="B27" s="436"/>
      <c r="C27" s="504">
        <v>5</v>
      </c>
      <c r="D27" s="504">
        <f>+$F$47*MCCA!D31</f>
        <v>31.900000000000002</v>
      </c>
      <c r="E27" s="507">
        <f>+(MCCA!$C$17+MCCA!$C$18+MCCA!$C$20)*MCCA!D31</f>
        <v>827.75000000000011</v>
      </c>
      <c r="F27" s="507">
        <f>0.3*E38</f>
        <v>270</v>
      </c>
      <c r="G27" s="172"/>
      <c r="H27" s="172"/>
      <c r="I27" s="310" t="s">
        <v>18</v>
      </c>
      <c r="J27" s="311"/>
      <c r="K27" s="205"/>
      <c r="L27" s="205"/>
      <c r="M27" s="206">
        <v>0</v>
      </c>
      <c r="N27" s="224" t="str">
        <f>+N26</f>
        <v>S/Ventas C/IVA</v>
      </c>
      <c r="O27" s="225"/>
      <c r="P27" s="173"/>
      <c r="Q27" s="182"/>
      <c r="U27" s="183"/>
      <c r="V27" s="184"/>
      <c r="AS27" s="366"/>
      <c r="AT27" s="366"/>
      <c r="AU27" s="366"/>
      <c r="AV27" s="366"/>
      <c r="AW27" s="366"/>
      <c r="AX27" s="366"/>
      <c r="AY27" s="366"/>
      <c r="AZ27" s="366"/>
      <c r="BA27" s="366"/>
      <c r="BB27" s="366"/>
    </row>
    <row r="28" spans="1:54" s="180" customFormat="1">
      <c r="A28" s="392" t="s">
        <v>230</v>
      </c>
      <c r="B28" s="437"/>
      <c r="C28" s="505">
        <v>0</v>
      </c>
      <c r="D28" s="505">
        <f>+$F$47*MCCA!D32</f>
        <v>19.575000000000003</v>
      </c>
      <c r="E28" s="508">
        <f>+(MCCA!$C$17+MCCA!$C$18+MCCA!$C$20)*MCCA!D32</f>
        <v>507.93750000000006</v>
      </c>
      <c r="F28" s="508">
        <v>0</v>
      </c>
      <c r="G28" s="172"/>
      <c r="H28" s="172"/>
      <c r="I28" s="304"/>
      <c r="J28" s="14"/>
      <c r="K28" s="14"/>
      <c r="L28" s="14"/>
      <c r="M28" s="203"/>
      <c r="N28" s="223"/>
      <c r="O28" s="171"/>
      <c r="P28" s="173"/>
      <c r="Q28" s="182"/>
      <c r="U28" s="183"/>
      <c r="V28" s="184"/>
      <c r="AS28" s="366"/>
      <c r="AT28" s="366"/>
      <c r="AU28" s="366"/>
      <c r="AV28" s="366"/>
      <c r="AW28" s="366"/>
      <c r="AX28" s="366"/>
      <c r="AY28" s="366"/>
      <c r="AZ28" s="366"/>
      <c r="BA28" s="366"/>
      <c r="BB28" s="366"/>
    </row>
    <row r="29" spans="1:54" s="180" customFormat="1">
      <c r="A29" s="2" t="s">
        <v>231</v>
      </c>
      <c r="B29" s="502">
        <f>+$C$47*MCCA!D29</f>
        <v>64.125</v>
      </c>
      <c r="C29" s="434"/>
      <c r="D29" s="434"/>
      <c r="E29" s="509">
        <f>+(MCCA!$C$22+MCCA!$C$24)*MCCA!D29</f>
        <v>4588.3125</v>
      </c>
      <c r="F29" s="509">
        <f>+MCCA!$E$22*MCCA!D29</f>
        <v>3726</v>
      </c>
      <c r="G29" s="172"/>
      <c r="H29" s="172"/>
      <c r="I29" s="304"/>
      <c r="J29" s="14"/>
      <c r="K29" s="14"/>
      <c r="L29" s="14"/>
      <c r="M29" s="203"/>
      <c r="N29" s="223"/>
      <c r="O29" s="171"/>
      <c r="P29" s="173"/>
      <c r="Q29" s="182"/>
      <c r="U29" s="183"/>
      <c r="V29" s="184"/>
    </row>
    <row r="30" spans="1:54" s="180" customFormat="1">
      <c r="A30" s="2" t="s">
        <v>232</v>
      </c>
      <c r="B30" s="502">
        <f>+$C$47*MCCA!D30</f>
        <v>62.7</v>
      </c>
      <c r="C30" s="434"/>
      <c r="D30" s="434"/>
      <c r="E30" s="509">
        <f>+(MCCA!$C$22+MCCA!$C$24)*MCCA!D30</f>
        <v>4486.3500000000004</v>
      </c>
      <c r="F30" s="509">
        <f>+MCCA!$E$22*MCCA!D30</f>
        <v>3643.2000000000003</v>
      </c>
      <c r="G30" s="172"/>
      <c r="H30" s="172"/>
      <c r="I30" s="7" t="s">
        <v>126</v>
      </c>
      <c r="J30" s="7"/>
      <c r="K30" s="6"/>
      <c r="L30" s="6"/>
      <c r="M30" s="6"/>
      <c r="N30" s="6"/>
      <c r="O30" s="7"/>
      <c r="P30" s="173"/>
      <c r="Q30" s="182"/>
      <c r="U30" s="183"/>
      <c r="V30" s="184"/>
    </row>
    <row r="31" spans="1:54" s="180" customFormat="1">
      <c r="A31" s="2" t="s">
        <v>233</v>
      </c>
      <c r="B31" s="502">
        <f>+$C$47*MCCA!D31</f>
        <v>62.7</v>
      </c>
      <c r="C31" s="434"/>
      <c r="D31" s="434"/>
      <c r="E31" s="509">
        <f>+(MCCA!$C$22+MCCA!$C$24)*MCCA!D31</f>
        <v>4486.3500000000004</v>
      </c>
      <c r="F31" s="509">
        <f>+MCCA!$E$22*MCCA!D31</f>
        <v>3643.2000000000003</v>
      </c>
      <c r="G31" s="172"/>
      <c r="H31" s="172"/>
      <c r="I31" s="207" t="s">
        <v>52</v>
      </c>
      <c r="J31" s="280"/>
      <c r="K31" s="280" t="s">
        <v>180</v>
      </c>
      <c r="L31" s="280" t="s">
        <v>17</v>
      </c>
      <c r="M31" s="280" t="s">
        <v>14</v>
      </c>
      <c r="N31" s="280" t="s">
        <v>178</v>
      </c>
      <c r="O31" s="280" t="s">
        <v>15</v>
      </c>
      <c r="P31" s="173"/>
      <c r="Q31" s="182"/>
      <c r="U31" s="183"/>
      <c r="V31" s="184"/>
    </row>
    <row r="32" spans="1:54" s="180" customFormat="1">
      <c r="A32" s="2" t="s">
        <v>234</v>
      </c>
      <c r="B32" s="502">
        <f>+$C$47*MCCA!D32</f>
        <v>38.475000000000001</v>
      </c>
      <c r="C32" s="434"/>
      <c r="D32" s="434"/>
      <c r="E32" s="509">
        <f>+(MCCA!$C$22+MCCA!$C$24)*MCCA!D32</f>
        <v>2752.9875000000002</v>
      </c>
      <c r="F32" s="509">
        <f>+MCCA!$E$22*MCCA!D32</f>
        <v>2235.6000000000004</v>
      </c>
      <c r="G32" s="172"/>
      <c r="H32" s="172"/>
      <c r="I32" s="208"/>
      <c r="J32" s="8"/>
      <c r="K32" s="8"/>
      <c r="L32" s="210" t="s">
        <v>177</v>
      </c>
      <c r="M32" s="209" t="s">
        <v>179</v>
      </c>
      <c r="N32" s="209" t="str">
        <f>+M32</f>
        <v>IVA Incl.</v>
      </c>
      <c r="O32" s="210" t="str">
        <f>+N32</f>
        <v>IVA Incl.</v>
      </c>
      <c r="Q32" s="182"/>
      <c r="U32" s="183"/>
      <c r="V32" s="184"/>
    </row>
    <row r="33" spans="1:65" s="180" customFormat="1">
      <c r="A33" s="336" t="s">
        <v>16</v>
      </c>
      <c r="B33" s="39">
        <f t="shared" ref="B33:D33" si="0">SUM(B21:B32)</f>
        <v>228</v>
      </c>
      <c r="C33" s="39">
        <f t="shared" si="0"/>
        <v>15</v>
      </c>
      <c r="D33" s="39">
        <f t="shared" si="0"/>
        <v>116.00000000000001</v>
      </c>
      <c r="E33" s="34">
        <f>SUM(E21:E32)</f>
        <v>19324</v>
      </c>
      <c r="F33" s="34">
        <f>SUM(F21:F32)</f>
        <v>14148.000000000002</v>
      </c>
      <c r="I33" s="20" t="s">
        <v>49</v>
      </c>
      <c r="J33" s="211"/>
      <c r="K33" s="211">
        <f>+B33</f>
        <v>228</v>
      </c>
      <c r="L33" s="211">
        <f>+F29+F30+F31+F32</f>
        <v>13248.000000000002</v>
      </c>
      <c r="M33" s="531">
        <v>2200</v>
      </c>
      <c r="N33" s="211">
        <f>+M33*D47</f>
        <v>127831.57894736843</v>
      </c>
      <c r="O33" s="6">
        <f>+N33*K33</f>
        <v>29145600</v>
      </c>
      <c r="P33" s="327" t="s">
        <v>187</v>
      </c>
      <c r="Q33" s="325">
        <f>+MIN('Resid - BCase Base CF'!J18:AU18)</f>
        <v>2037.0216284987275</v>
      </c>
      <c r="U33" s="183"/>
      <c r="V33" s="184"/>
    </row>
    <row r="34" spans="1:65" s="180" customFormat="1">
      <c r="A34" s="398" t="s">
        <v>224</v>
      </c>
      <c r="I34" s="20" t="s">
        <v>174</v>
      </c>
      <c r="J34" s="211"/>
      <c r="K34" s="211">
        <f>+C33</f>
        <v>15</v>
      </c>
      <c r="L34" s="211">
        <f>+F25+F26+F27+F28</f>
        <v>900</v>
      </c>
      <c r="M34" s="531">
        <f>17*12*0.95/0.08</f>
        <v>2422.4999999999995</v>
      </c>
      <c r="N34" s="211">
        <f>+M34*L34/K34</f>
        <v>145349.99999999997</v>
      </c>
      <c r="O34" s="6">
        <f>+N34*K34</f>
        <v>2180249.9999999995</v>
      </c>
      <c r="P34" s="326" t="s">
        <v>186</v>
      </c>
      <c r="Q34" s="325">
        <f>+MAX('Resid - BCase Base CF'!J18:AU18)</f>
        <v>2324.8616412213737</v>
      </c>
      <c r="U34" s="183"/>
      <c r="V34" s="184"/>
    </row>
    <row r="35" spans="1:65" s="180" customFormat="1">
      <c r="I35" s="20" t="s">
        <v>36</v>
      </c>
      <c r="J35" s="211"/>
      <c r="K35" s="211">
        <f>+D33</f>
        <v>116.00000000000001</v>
      </c>
      <c r="L35" s="211"/>
      <c r="M35" s="211"/>
      <c r="N35" s="531">
        <v>20000</v>
      </c>
      <c r="O35" s="6">
        <f>+N35*K35</f>
        <v>2320000.0000000005</v>
      </c>
      <c r="P35" s="327" t="s">
        <v>27</v>
      </c>
      <c r="Q35" s="328">
        <f>+(O34+O33)/(L33+L34)</f>
        <v>2214.153944020356</v>
      </c>
      <c r="U35" s="183"/>
      <c r="V35" s="184"/>
    </row>
    <row r="36" spans="1:65" s="180" customFormat="1" ht="15" thickBot="1">
      <c r="I36" s="212" t="s">
        <v>15</v>
      </c>
      <c r="J36" s="213"/>
      <c r="K36" s="213"/>
      <c r="L36" s="213">
        <f>SUM(L33:L35)</f>
        <v>14148.000000000002</v>
      </c>
      <c r="M36" s="213"/>
      <c r="N36" s="214"/>
      <c r="O36" s="176">
        <f>SUM(O33:O35)</f>
        <v>33645850</v>
      </c>
      <c r="P36" s="473">
        <f>+O36*O7/(1+O13)</f>
        <v>30889006.196924489</v>
      </c>
      <c r="Q36" s="474" t="s">
        <v>268</v>
      </c>
      <c r="U36" s="183"/>
      <c r="V36" s="184"/>
      <c r="BM36" s="2"/>
    </row>
    <row r="37" spans="1:65" s="180" customFormat="1" ht="15" thickTop="1">
      <c r="A37" s="3" t="s">
        <v>227</v>
      </c>
      <c r="B37" s="3"/>
      <c r="C37" s="376"/>
      <c r="D37" s="376"/>
      <c r="E37" s="230">
        <v>4</v>
      </c>
      <c r="F37" s="376"/>
      <c r="G37" s="174"/>
      <c r="H37" s="173"/>
      <c r="I37" s="1"/>
      <c r="J37" s="1"/>
      <c r="K37" s="1"/>
      <c r="L37" s="1"/>
      <c r="M37" s="1"/>
      <c r="N37" s="1"/>
      <c r="O37" s="6"/>
      <c r="P37" s="173"/>
      <c r="Q37" s="182"/>
      <c r="U37" s="183"/>
      <c r="V37" s="184"/>
      <c r="BM37" s="2"/>
    </row>
    <row r="38" spans="1:65" s="180" customFormat="1">
      <c r="A38" s="20" t="s">
        <v>167</v>
      </c>
      <c r="B38" s="20"/>
      <c r="C38" s="377"/>
      <c r="D38" s="377"/>
      <c r="E38" s="501">
        <f>+MCCA!E20</f>
        <v>900</v>
      </c>
      <c r="F38" s="378" t="s">
        <v>0</v>
      </c>
      <c r="G38" s="320"/>
      <c r="H38" s="173"/>
      <c r="I38" s="9" t="s">
        <v>88</v>
      </c>
      <c r="J38" s="9"/>
      <c r="K38" s="9"/>
      <c r="L38" s="9"/>
      <c r="M38" s="9"/>
      <c r="N38" s="9"/>
      <c r="O38" s="234">
        <v>1.4999999999999999E-2</v>
      </c>
      <c r="P38" s="173"/>
      <c r="Q38" s="182"/>
      <c r="U38" s="183"/>
      <c r="V38" s="184"/>
      <c r="BM38" s="2"/>
    </row>
    <row r="39" spans="1:65" s="180" customFormat="1">
      <c r="A39" s="23" t="s">
        <v>168</v>
      </c>
      <c r="B39" s="23"/>
      <c r="C39" s="25"/>
      <c r="D39" s="25"/>
      <c r="E39" s="300">
        <f>+E9-E38</f>
        <v>13248</v>
      </c>
      <c r="F39" s="301" t="s">
        <v>0</v>
      </c>
      <c r="G39" s="14"/>
      <c r="H39" s="173"/>
      <c r="I39" s="170"/>
      <c r="J39" s="6"/>
      <c r="K39" s="6"/>
      <c r="L39" s="6"/>
      <c r="M39" s="6"/>
      <c r="N39" s="6"/>
      <c r="O39" s="6"/>
      <c r="P39" s="173"/>
      <c r="Q39" s="182"/>
      <c r="U39" s="183"/>
      <c r="V39" s="184"/>
      <c r="BM39" s="2"/>
    </row>
    <row r="40" spans="1:65" s="180" customFormat="1">
      <c r="A40" s="20"/>
      <c r="B40" s="20"/>
      <c r="C40" s="19"/>
      <c r="D40" s="19"/>
      <c r="E40" s="19"/>
      <c r="F40" s="19"/>
      <c r="G40" s="174"/>
      <c r="H40" s="173"/>
      <c r="I40" s="467" t="s">
        <v>116</v>
      </c>
      <c r="J40" s="468"/>
      <c r="K40" s="469"/>
      <c r="L40" s="470"/>
      <c r="M40" s="471"/>
      <c r="N40" s="472">
        <f>+'Resid - BCase Base CF'!C15</f>
        <v>5.9999999999999982</v>
      </c>
      <c r="O40" s="471" t="s">
        <v>85</v>
      </c>
      <c r="P40" s="173"/>
      <c r="Q40" s="182"/>
      <c r="U40" s="183"/>
      <c r="V40" s="184"/>
      <c r="BM40" s="2"/>
    </row>
    <row r="41" spans="1:65" s="180" customFormat="1">
      <c r="A41" s="21" t="s">
        <v>226</v>
      </c>
      <c r="B41" s="21"/>
      <c r="C41" s="20"/>
      <c r="D41" s="20"/>
      <c r="E41" s="20"/>
      <c r="F41" s="20"/>
      <c r="G41" s="174"/>
      <c r="H41" s="173"/>
      <c r="U41" s="183"/>
      <c r="V41" s="184"/>
      <c r="BM41" s="2"/>
    </row>
    <row r="42" spans="1:65" s="180" customFormat="1">
      <c r="A42" s="22" t="s">
        <v>25</v>
      </c>
      <c r="B42" s="426" t="s">
        <v>21</v>
      </c>
      <c r="C42" s="35" t="s">
        <v>23</v>
      </c>
      <c r="D42" s="35" t="s">
        <v>26</v>
      </c>
      <c r="E42" s="32" t="s">
        <v>51</v>
      </c>
      <c r="F42" s="32" t="s">
        <v>36</v>
      </c>
      <c r="H42" s="173"/>
      <c r="I42" s="200"/>
      <c r="J42" s="14"/>
      <c r="K42" s="14"/>
      <c r="L42" s="14"/>
      <c r="M42" s="203"/>
      <c r="N42" s="223"/>
      <c r="O42" s="171"/>
      <c r="P42" s="173"/>
      <c r="Q42" s="182"/>
      <c r="U42" s="183"/>
      <c r="V42" s="184"/>
      <c r="BM42" s="2"/>
    </row>
    <row r="43" spans="1:65" s="180" customFormat="1">
      <c r="A43" s="10" t="s">
        <v>235</v>
      </c>
      <c r="B43" s="427">
        <v>0.1</v>
      </c>
      <c r="C43" s="36">
        <f>+$E$39*B43/D43</f>
        <v>37.851428571428578</v>
      </c>
      <c r="D43" s="385">
        <v>35</v>
      </c>
      <c r="E43" s="379">
        <v>0.33</v>
      </c>
      <c r="F43" s="380">
        <f>+E43*C43</f>
        <v>12.490971428571431</v>
      </c>
      <c r="G43" s="56"/>
      <c r="H43" s="56"/>
      <c r="I43" s="329" t="s">
        <v>117</v>
      </c>
      <c r="J43" s="281"/>
      <c r="K43" s="281"/>
      <c r="L43" s="57"/>
      <c r="M43" s="44"/>
      <c r="N43" s="44"/>
      <c r="O43" s="44"/>
      <c r="P43" s="173"/>
      <c r="Q43" s="182"/>
      <c r="U43" s="183"/>
      <c r="V43" s="184"/>
      <c r="BM43" s="2"/>
    </row>
    <row r="44" spans="1:65" s="180" customFormat="1">
      <c r="A44" s="20" t="s">
        <v>28</v>
      </c>
      <c r="B44" s="428">
        <v>0.4</v>
      </c>
      <c r="C44" s="37">
        <f>+$E$39*B44/D44</f>
        <v>101.90769230769232</v>
      </c>
      <c r="D44" s="386">
        <v>52</v>
      </c>
      <c r="E44" s="381">
        <v>0.37</v>
      </c>
      <c r="F44" s="382">
        <f>+E44*C44</f>
        <v>37.705846153846153</v>
      </c>
      <c r="G44" s="174"/>
      <c r="H44" s="173"/>
      <c r="I44" s="117" t="s">
        <v>118</v>
      </c>
      <c r="J44" s="117"/>
      <c r="K44" s="444" t="s">
        <v>238</v>
      </c>
      <c r="L44" s="444" t="s">
        <v>239</v>
      </c>
      <c r="M44" s="444" t="s">
        <v>240</v>
      </c>
      <c r="N44" s="177"/>
      <c r="O44" s="449" t="s">
        <v>43</v>
      </c>
      <c r="P44" s="536" t="s">
        <v>302</v>
      </c>
      <c r="Q44" s="535">
        <f>+Q33*(1+K50)</f>
        <v>1935.1705470737911</v>
      </c>
      <c r="U44" s="183"/>
      <c r="V44" s="184"/>
      <c r="BH44" s="2"/>
      <c r="BI44" s="2"/>
      <c r="BJ44" s="2"/>
      <c r="BK44" s="2"/>
      <c r="BL44" s="2"/>
      <c r="BM44" s="2"/>
    </row>
    <row r="45" spans="1:65" s="180" customFormat="1">
      <c r="A45" s="20" t="s">
        <v>29</v>
      </c>
      <c r="B45" s="428">
        <v>0.35</v>
      </c>
      <c r="C45" s="37">
        <f>+$E$39*B45/D45</f>
        <v>66.239999999999995</v>
      </c>
      <c r="D45" s="386">
        <v>70</v>
      </c>
      <c r="E45" s="381">
        <v>0.66</v>
      </c>
      <c r="F45" s="382">
        <f>+E45*C45</f>
        <v>43.718399999999995</v>
      </c>
      <c r="G45" s="174"/>
      <c r="H45" s="173"/>
      <c r="I45" s="438" t="s">
        <v>119</v>
      </c>
      <c r="J45" s="438"/>
      <c r="K45" s="445">
        <v>0.7</v>
      </c>
      <c r="L45" s="445">
        <v>0.3</v>
      </c>
      <c r="M45" s="445">
        <v>0.1</v>
      </c>
      <c r="N45" s="177"/>
      <c r="O45" s="450">
        <v>0.3</v>
      </c>
      <c r="P45" s="173"/>
      <c r="Q45" s="537" t="s">
        <v>14</v>
      </c>
      <c r="U45" s="183"/>
      <c r="V45" s="184"/>
    </row>
    <row r="46" spans="1:65" s="56" customFormat="1">
      <c r="A46" s="23" t="s">
        <v>30</v>
      </c>
      <c r="B46" s="429">
        <f>1-B45-B44-B43</f>
        <v>0.15</v>
      </c>
      <c r="C46" s="38">
        <f>+$E$39*B46/D46</f>
        <v>22.08</v>
      </c>
      <c r="D46" s="387">
        <v>90</v>
      </c>
      <c r="E46" s="383">
        <v>1</v>
      </c>
      <c r="F46" s="384">
        <f>+E46*C46</f>
        <v>22.08</v>
      </c>
      <c r="G46" s="174"/>
      <c r="H46" s="302"/>
      <c r="I46" s="439" t="s">
        <v>1</v>
      </c>
      <c r="J46" s="439"/>
      <c r="K46" s="446">
        <v>0</v>
      </c>
      <c r="L46" s="446">
        <v>0.6</v>
      </c>
      <c r="M46" s="446">
        <v>0.2</v>
      </c>
      <c r="N46" s="177"/>
      <c r="O46" s="451"/>
      <c r="P46" s="173"/>
      <c r="Q46" s="182"/>
      <c r="U46" s="12"/>
    </row>
    <row r="47" spans="1:65" s="56" customFormat="1">
      <c r="A47" s="24" t="s">
        <v>27</v>
      </c>
      <c r="B47" s="430">
        <f>SUM(B43:B46)</f>
        <v>1</v>
      </c>
      <c r="C47" s="39">
        <f>ROUND(SUM(C43:C46),0)</f>
        <v>228</v>
      </c>
      <c r="D47" s="39">
        <f>+(C44*D44+C45*D45+C46*D46+C43*D43)/C47</f>
        <v>58.10526315789474</v>
      </c>
      <c r="E47" s="33">
        <f>+F47/C47</f>
        <v>0.50877192982456143</v>
      </c>
      <c r="F47" s="34">
        <f>ROUND(SUM(F43:F46),0)</f>
        <v>116</v>
      </c>
      <c r="G47" s="188"/>
      <c r="H47" s="303"/>
      <c r="I47" s="441" t="s">
        <v>127</v>
      </c>
      <c r="J47" s="441"/>
      <c r="K47" s="447">
        <v>0.3</v>
      </c>
      <c r="L47" s="447">
        <v>0.1</v>
      </c>
      <c r="M47" s="447">
        <v>0.7</v>
      </c>
      <c r="N47" s="14"/>
      <c r="O47" s="452">
        <f>1-O45</f>
        <v>0.7</v>
      </c>
      <c r="P47" s="173"/>
      <c r="Q47" s="182"/>
      <c r="U47" s="12"/>
    </row>
    <row r="48" spans="1:65" s="56" customFormat="1">
      <c r="A48" s="188" t="s">
        <v>173</v>
      </c>
      <c r="B48" s="20"/>
      <c r="C48" s="19"/>
      <c r="D48" s="19"/>
      <c r="E48" s="19"/>
      <c r="F48" s="19"/>
      <c r="G48" s="180"/>
      <c r="H48" s="180"/>
      <c r="I48" s="442"/>
      <c r="J48" s="442"/>
      <c r="K48" s="442"/>
      <c r="L48" s="442"/>
      <c r="M48" s="443"/>
      <c r="N48" s="14"/>
      <c r="O48" s="440"/>
      <c r="Q48" s="12"/>
      <c r="U48" s="12"/>
    </row>
    <row r="49" spans="1:21" s="170" customFormat="1">
      <c r="A49" s="188" t="s">
        <v>183</v>
      </c>
      <c r="B49" s="180"/>
      <c r="C49" s="180"/>
      <c r="D49" s="180"/>
      <c r="E49" s="180"/>
      <c r="F49" s="180"/>
      <c r="G49" s="180"/>
      <c r="H49" s="180"/>
      <c r="I49" s="82" t="s">
        <v>241</v>
      </c>
      <c r="J49" s="82"/>
      <c r="K49" s="462">
        <f>+('Resid - BCase Base CF'!C132+'Resid - BCase Base CF'!C133+'Resid - BCase Base CF'!C134+'Resid - BCase Base CF'!C151+'Resid - BCase Base CF'!C152+'Resid - BCase Base CF'!C153+'Resid - BCase Base CF'!C170+'Resid - BCase Base CF'!C171+'Resid - BCase Base CF'!C172+'Resid - BCase Base CF'!C189+'Resid - BCase Base CF'!C190+'Resid - BCase Base CF'!C191)/'Resid - BCase Base CF'!C206</f>
        <v>2.4658767061646908E-2</v>
      </c>
      <c r="L49" s="462">
        <f>+('Resid - BCase Base CF'!C137+'Resid - BCase Base CF'!C138+'Resid - BCase Base CF'!C139+'Resid - BCase Base CF'!C156+'Resid - BCase Base CF'!C157+'Resid - BCase Base CF'!C158+'Resid - BCase Base CF'!C175+'Resid - BCase Base CF'!C176+'Resid - BCase Base CF'!C177+'Resid - BCase Base CF'!C194+'Resid - BCase Base CF'!C195+'Resid - BCase Base CF'!C196)/'Resid - BCase Base CF'!C206</f>
        <v>0.6242010132317809</v>
      </c>
      <c r="M49" s="462">
        <f>+('Resid - BCase Base CF'!C142+'Resid - BCase Base CF'!C143+'Resid - BCase Base CF'!C144+'Resid - BCase Base CF'!C161+'Resid - BCase Base CF'!C162+'Resid - BCase Base CF'!C163+'Resid - BCase Base CF'!C180+'Resid - BCase Base CF'!C181+'Resid - BCase Base CF'!C182+'Resid - BCase Base CF'!C199+'Resid - BCase Base CF'!C200+'Resid - BCase Base CF'!C201)/'Resid - BCase Base CF'!C206</f>
        <v>0.30869215127029898</v>
      </c>
      <c r="N49" s="13"/>
      <c r="O49" s="466">
        <f>+('Resid - BCase Base CF'!C147+'Resid - BCase Base CF'!C148+'Resid - BCase Base CF'!C166+'Resid - BCase Base CF'!C167+'Resid - BCase Base CF'!C185+'Resid - BCase Base CF'!C186+'Resid - BCase Base CF'!C204+'Resid - BCase Base CF'!C205)/'Resid - BCase Base CF'!C206</f>
        <v>4.2448068436272829E-2</v>
      </c>
      <c r="P49" s="56"/>
      <c r="Q49" s="12"/>
    </row>
    <row r="50" spans="1:21" s="170" customFormat="1">
      <c r="A50" s="180"/>
      <c r="B50" s="180"/>
      <c r="C50" s="180"/>
      <c r="D50" s="180"/>
      <c r="E50" s="180"/>
      <c r="F50" s="180"/>
      <c r="G50" s="180"/>
      <c r="H50" s="180"/>
      <c r="I50" s="86" t="s">
        <v>243</v>
      </c>
      <c r="J50" s="86"/>
      <c r="K50" s="448">
        <v>-0.05</v>
      </c>
      <c r="L50" s="448">
        <v>0</v>
      </c>
      <c r="M50" s="448">
        <v>0.05</v>
      </c>
      <c r="N50" s="14"/>
      <c r="O50" s="453" t="s">
        <v>242</v>
      </c>
      <c r="P50" s="56"/>
      <c r="Q50" s="12"/>
      <c r="U50" s="185"/>
    </row>
    <row r="51" spans="1:21" s="170" customFormat="1">
      <c r="A51" s="40" t="s">
        <v>289</v>
      </c>
      <c r="B51" s="40"/>
      <c r="C51" s="24"/>
      <c r="D51" s="24"/>
      <c r="E51" s="196">
        <f>+(MCCA!C17+MCCA!C18)/'Resid - Datos'!D33</f>
        <v>18.18965517241379</v>
      </c>
      <c r="F51" s="40" t="s">
        <v>0</v>
      </c>
      <c r="G51" s="188"/>
      <c r="H51" s="303"/>
      <c r="I51" s="215" t="s">
        <v>128</v>
      </c>
      <c r="U51" s="185"/>
    </row>
    <row r="52" spans="1:21" s="170" customFormat="1">
      <c r="A52" s="323"/>
      <c r="B52" s="323"/>
      <c r="C52" s="323"/>
      <c r="D52" s="323"/>
      <c r="E52" s="323"/>
      <c r="F52" s="323"/>
      <c r="G52" s="323"/>
      <c r="H52" s="324"/>
      <c r="Q52" s="185"/>
      <c r="U52" s="185"/>
    </row>
    <row r="53" spans="1:21" s="170" customFormat="1">
      <c r="Q53" s="185"/>
      <c r="U53" s="185"/>
    </row>
    <row r="54" spans="1:21" s="170" customFormat="1">
      <c r="I54" s="271" t="s">
        <v>105</v>
      </c>
      <c r="J54" s="254"/>
      <c r="K54" s="254"/>
      <c r="L54" s="7"/>
      <c r="M54" s="7"/>
      <c r="N54" s="7"/>
      <c r="O54" s="7"/>
      <c r="Q54" s="185"/>
      <c r="U54" s="185"/>
    </row>
    <row r="55" spans="1:21" s="170" customFormat="1">
      <c r="I55" s="272" t="s">
        <v>120</v>
      </c>
      <c r="J55" s="252"/>
      <c r="K55" s="252"/>
      <c r="L55" s="252"/>
      <c r="M55" s="252" t="s">
        <v>267</v>
      </c>
      <c r="N55" s="272"/>
      <c r="O55" s="273">
        <f>+L76*O7</f>
        <v>13439500</v>
      </c>
      <c r="Q55" s="185"/>
      <c r="U55" s="185"/>
    </row>
    <row r="56" spans="1:21" s="170" customFormat="1">
      <c r="I56" s="272" t="s">
        <v>121</v>
      </c>
      <c r="J56" s="252"/>
      <c r="K56" s="252"/>
      <c r="L56" s="252"/>
      <c r="M56" s="252" t="str">
        <f>+M55</f>
        <v>UVAs</v>
      </c>
      <c r="N56" s="274">
        <v>0</v>
      </c>
      <c r="O56" s="273">
        <f>+N56*O55</f>
        <v>0</v>
      </c>
      <c r="Q56" s="185"/>
      <c r="U56" s="185"/>
    </row>
    <row r="57" spans="1:21" s="170" customFormat="1">
      <c r="I57" s="63"/>
      <c r="J57" s="1"/>
      <c r="K57" s="1"/>
      <c r="L57" s="1"/>
      <c r="M57" s="1"/>
      <c r="N57" s="63"/>
      <c r="O57" s="63"/>
      <c r="Q57" s="185"/>
      <c r="U57" s="185"/>
    </row>
    <row r="58" spans="1:21" s="170" customFormat="1">
      <c r="A58" s="20"/>
      <c r="B58" s="20"/>
      <c r="C58" s="19"/>
      <c r="D58" s="19"/>
      <c r="E58" s="19"/>
      <c r="F58" s="19"/>
      <c r="G58" s="174"/>
      <c r="H58" s="173"/>
      <c r="I58" s="272" t="s">
        <v>122</v>
      </c>
      <c r="J58" s="252"/>
      <c r="K58" s="252"/>
      <c r="L58" s="252"/>
      <c r="M58" s="252"/>
      <c r="N58" s="272"/>
      <c r="O58" s="275">
        <v>0.11</v>
      </c>
      <c r="Q58" s="185"/>
      <c r="U58" s="185"/>
    </row>
    <row r="59" spans="1:21" s="170" customFormat="1">
      <c r="A59" s="20"/>
      <c r="B59" s="20"/>
      <c r="C59" s="19"/>
      <c r="D59" s="19"/>
      <c r="E59" s="19"/>
      <c r="F59" s="19"/>
      <c r="G59" s="174"/>
      <c r="H59" s="173"/>
      <c r="I59" s="272" t="s">
        <v>123</v>
      </c>
      <c r="J59" s="252"/>
      <c r="K59" s="252"/>
      <c r="L59" s="252"/>
      <c r="M59" s="252"/>
      <c r="N59" s="275">
        <v>0.01</v>
      </c>
      <c r="O59" s="273">
        <f>+N59*O56</f>
        <v>0</v>
      </c>
      <c r="Q59" s="185"/>
      <c r="U59" s="185"/>
    </row>
    <row r="60" spans="1:21" s="170" customFormat="1">
      <c r="A60" s="20"/>
      <c r="B60" s="20"/>
      <c r="C60" s="19"/>
      <c r="D60" s="19"/>
      <c r="E60" s="19"/>
      <c r="F60" s="19"/>
      <c r="G60" s="174"/>
      <c r="H60" s="173"/>
      <c r="I60" s="254"/>
      <c r="J60" s="1"/>
      <c r="K60" s="1"/>
      <c r="L60" s="1"/>
      <c r="M60" s="1"/>
      <c r="N60" s="254"/>
      <c r="O60" s="254"/>
      <c r="Q60" s="185"/>
      <c r="U60" s="185"/>
    </row>
    <row r="61" spans="1:21" s="170" customFormat="1">
      <c r="A61" s="20"/>
      <c r="B61" s="20"/>
      <c r="C61" s="19"/>
      <c r="D61" s="19"/>
      <c r="E61" s="19"/>
      <c r="F61" s="19"/>
      <c r="G61" s="174"/>
      <c r="H61" s="173"/>
      <c r="I61" s="272" t="s">
        <v>124</v>
      </c>
      <c r="J61" s="252"/>
      <c r="K61" s="252"/>
      <c r="L61" s="252"/>
      <c r="M61" s="252"/>
      <c r="N61" s="272"/>
      <c r="O61" s="274">
        <v>0.2</v>
      </c>
      <c r="Q61" s="185"/>
      <c r="U61" s="185"/>
    </row>
    <row r="62" spans="1:21" s="170" customFormat="1">
      <c r="A62" s="20"/>
      <c r="B62" s="20"/>
      <c r="C62" s="19"/>
      <c r="D62" s="19"/>
      <c r="E62" s="19"/>
      <c r="F62" s="19"/>
      <c r="G62" s="174"/>
      <c r="H62" s="173"/>
      <c r="I62" s="272" t="s">
        <v>125</v>
      </c>
      <c r="J62" s="252"/>
      <c r="K62" s="252"/>
      <c r="L62" s="252"/>
      <c r="M62" s="252"/>
      <c r="N62" s="272"/>
      <c r="O62" s="274">
        <v>0</v>
      </c>
      <c r="Q62" s="185"/>
      <c r="U62" s="177"/>
    </row>
    <row r="63" spans="1:21" s="170" customFormat="1">
      <c r="A63" s="20"/>
      <c r="B63" s="20"/>
      <c r="C63" s="19"/>
      <c r="D63" s="19"/>
      <c r="E63" s="19"/>
      <c r="F63" s="19"/>
      <c r="G63" s="174"/>
      <c r="H63" s="173"/>
      <c r="I63" s="173"/>
      <c r="T63" s="185"/>
    </row>
    <row r="64" spans="1:21" s="56" customFormat="1">
      <c r="A64" s="20"/>
      <c r="B64" s="20"/>
      <c r="C64" s="19"/>
      <c r="D64" s="19"/>
      <c r="E64" s="19"/>
      <c r="F64" s="19"/>
      <c r="G64" s="174"/>
      <c r="H64" s="173"/>
      <c r="I64" s="173"/>
      <c r="S64" s="170"/>
      <c r="T64" s="177"/>
    </row>
    <row r="65" spans="1:20" s="56" customFormat="1">
      <c r="O65" s="7"/>
      <c r="P65" s="7"/>
      <c r="Q65" s="7"/>
      <c r="R65" s="7"/>
      <c r="S65" s="6"/>
      <c r="T65" s="170"/>
    </row>
    <row r="66" spans="1:20" s="56" customFormat="1">
      <c r="A66" s="43" t="s">
        <v>37</v>
      </c>
      <c r="B66" s="191"/>
      <c r="C66" s="191"/>
      <c r="D66" s="191"/>
      <c r="E66" s="191"/>
      <c r="F66" s="191"/>
      <c r="G66" s="191"/>
      <c r="H66" s="18"/>
      <c r="I66" s="18"/>
      <c r="O66" s="7" t="s">
        <v>293</v>
      </c>
      <c r="P66" s="7"/>
      <c r="Q66" s="7"/>
      <c r="R66" s="7"/>
      <c r="S66" s="534" t="s">
        <v>3</v>
      </c>
    </row>
    <row r="67" spans="1:20" s="56" customFormat="1">
      <c r="A67" s="45" t="s">
        <v>4</v>
      </c>
      <c r="B67" s="566" t="s">
        <v>236</v>
      </c>
      <c r="C67" s="566"/>
      <c r="D67" s="566"/>
      <c r="E67" s="567" t="s">
        <v>184</v>
      </c>
      <c r="F67" s="567"/>
      <c r="G67" s="567"/>
      <c r="H67" s="568" t="s">
        <v>172</v>
      </c>
      <c r="I67" s="568"/>
      <c r="J67" s="568"/>
      <c r="K67" s="563" t="s">
        <v>15</v>
      </c>
      <c r="L67" s="563"/>
      <c r="O67" s="538" t="s">
        <v>294</v>
      </c>
      <c r="P67" s="538"/>
      <c r="Q67" s="538"/>
      <c r="R67" s="539"/>
      <c r="S67" s="538">
        <f>+'Resid - BCase Base CF'!C53/O7</f>
        <v>-1932400</v>
      </c>
      <c r="T67" s="170"/>
    </row>
    <row r="68" spans="1:20" s="56" customFormat="1">
      <c r="A68" s="46"/>
      <c r="B68" s="42" t="s">
        <v>0</v>
      </c>
      <c r="C68" s="42" t="s">
        <v>14</v>
      </c>
      <c r="D68" s="405" t="s">
        <v>3</v>
      </c>
      <c r="E68" s="48" t="s">
        <v>0</v>
      </c>
      <c r="F68" s="48" t="s">
        <v>14</v>
      </c>
      <c r="G68" s="26" t="s">
        <v>3</v>
      </c>
      <c r="H68" s="403" t="s">
        <v>0</v>
      </c>
      <c r="I68" s="403" t="s">
        <v>14</v>
      </c>
      <c r="J68" s="28" t="s">
        <v>3</v>
      </c>
      <c r="K68" s="50" t="s">
        <v>0</v>
      </c>
      <c r="L68" s="50" t="s">
        <v>3</v>
      </c>
      <c r="M68" s="417" t="s">
        <v>206</v>
      </c>
      <c r="O68" s="538" t="s">
        <v>38</v>
      </c>
      <c r="P68" s="538"/>
      <c r="Q68" s="538"/>
      <c r="R68" s="539"/>
      <c r="S68" s="538">
        <f>+('Resid - BCase Base CF'!C75+'Resid - BCase Base CF'!C69)/O7</f>
        <v>-14735387.994600002</v>
      </c>
      <c r="T68" s="170"/>
    </row>
    <row r="69" spans="1:20" s="56" customFormat="1">
      <c r="A69" s="9" t="s">
        <v>273</v>
      </c>
      <c r="B69" s="530"/>
      <c r="C69" s="530"/>
      <c r="D69" s="530"/>
      <c r="E69" s="529"/>
      <c r="F69" s="529"/>
      <c r="G69" s="529"/>
      <c r="H69" s="252">
        <f>+E5</f>
        <v>2745.5713999999998</v>
      </c>
      <c r="I69" s="528">
        <v>100</v>
      </c>
      <c r="J69" s="252">
        <f>+I69*H69</f>
        <v>274557.13999999996</v>
      </c>
      <c r="K69" s="527"/>
      <c r="L69" s="527">
        <f>+J69</f>
        <v>274557.13999999996</v>
      </c>
      <c r="M69" s="215">
        <f>+L69*$O$7</f>
        <v>274557.13999999996</v>
      </c>
      <c r="O69" s="540" t="s">
        <v>298</v>
      </c>
      <c r="P69" s="541"/>
      <c r="Q69" s="541"/>
      <c r="R69" s="542">
        <f>+M18+M19+M21</f>
        <v>6.3E-2</v>
      </c>
      <c r="S69" s="540">
        <f>+S68*R69</f>
        <v>-928329.4436598001</v>
      </c>
    </row>
    <row r="70" spans="1:20" s="56" customFormat="1">
      <c r="O70" s="540" t="s">
        <v>296</v>
      </c>
      <c r="P70" s="540"/>
      <c r="Q70" s="541"/>
      <c r="R70" s="542">
        <f>+M20+0.01</f>
        <v>0.04</v>
      </c>
      <c r="S70" s="540">
        <f>+R70*S68</f>
        <v>-589415.51978400012</v>
      </c>
      <c r="T70" s="170"/>
    </row>
    <row r="71" spans="1:20" s="56" customFormat="1">
      <c r="A71" s="510" t="s">
        <v>38</v>
      </c>
      <c r="B71" s="511"/>
      <c r="C71" s="511"/>
      <c r="D71" s="511"/>
      <c r="E71" s="512"/>
      <c r="F71" s="512"/>
      <c r="G71" s="513"/>
      <c r="H71" s="514"/>
      <c r="I71" s="515"/>
      <c r="J71" s="516"/>
      <c r="K71" s="517"/>
      <c r="L71" s="517"/>
      <c r="M71" s="215"/>
      <c r="O71" s="543" t="s">
        <v>295</v>
      </c>
      <c r="P71" s="543"/>
      <c r="Q71" s="544"/>
      <c r="R71" s="545">
        <v>0.1</v>
      </c>
      <c r="S71" s="543">
        <f>+S68*R71</f>
        <v>-1473538.7994600004</v>
      </c>
      <c r="T71" s="170"/>
    </row>
    <row r="72" spans="1:20" s="56" customFormat="1">
      <c r="A72" s="47" t="str">
        <f>+A29</f>
        <v>Módulo 1</v>
      </c>
      <c r="B72" s="518">
        <f>+E21</f>
        <v>0</v>
      </c>
      <c r="C72" s="519">
        <v>450</v>
      </c>
      <c r="D72" s="518">
        <f>+C72*B72</f>
        <v>0</v>
      </c>
      <c r="E72" s="49">
        <f>+E25</f>
        <v>846.5625</v>
      </c>
      <c r="F72" s="197">
        <v>400</v>
      </c>
      <c r="G72" s="27">
        <f>+F72*E72</f>
        <v>338625</v>
      </c>
      <c r="H72" s="408">
        <f>+E29</f>
        <v>4588.3125</v>
      </c>
      <c r="I72" s="409">
        <v>750</v>
      </c>
      <c r="J72" s="410">
        <f>+I72*H72</f>
        <v>3441234.375</v>
      </c>
      <c r="K72" s="51">
        <f>E72+H72+B72</f>
        <v>5434.875</v>
      </c>
      <c r="L72" s="51">
        <f>+J72+G72+D72</f>
        <v>3779859.375</v>
      </c>
      <c r="M72" s="215">
        <f>+L72*$O$7</f>
        <v>3779859.375</v>
      </c>
      <c r="O72" s="546" t="s">
        <v>6</v>
      </c>
      <c r="P72" s="546"/>
      <c r="Q72" s="546"/>
      <c r="R72" s="546"/>
      <c r="S72" s="546">
        <f>SUM(S67:S71)</f>
        <v>-19659071.757503804</v>
      </c>
      <c r="T72" s="170"/>
    </row>
    <row r="73" spans="1:20" s="56" customFormat="1">
      <c r="A73" s="47" t="str">
        <f>+A30</f>
        <v>Módulo 2</v>
      </c>
      <c r="B73" s="518">
        <f>+E22</f>
        <v>0</v>
      </c>
      <c r="C73" s="519">
        <v>450</v>
      </c>
      <c r="D73" s="518">
        <f>+C73*B73</f>
        <v>0</v>
      </c>
      <c r="E73" s="49">
        <f>+E26</f>
        <v>827.75000000000011</v>
      </c>
      <c r="F73" s="197">
        <v>400</v>
      </c>
      <c r="G73" s="27">
        <f>+F73*E73</f>
        <v>331100.00000000006</v>
      </c>
      <c r="H73" s="408">
        <f>+E30</f>
        <v>4486.3500000000004</v>
      </c>
      <c r="I73" s="409">
        <v>750</v>
      </c>
      <c r="J73" s="410">
        <f>+I73*H73</f>
        <v>3364762.5000000005</v>
      </c>
      <c r="K73" s="51">
        <f>E73+H73+B73</f>
        <v>5314.1</v>
      </c>
      <c r="L73" s="51">
        <f>+J73+G73+D73</f>
        <v>3695862.5000000005</v>
      </c>
      <c r="M73" s="215">
        <f>+L73*$O$7</f>
        <v>3695862.5000000005</v>
      </c>
      <c r="O73" s="6"/>
      <c r="P73" s="6"/>
      <c r="Q73" s="7"/>
      <c r="R73" s="6"/>
      <c r="S73" s="6"/>
      <c r="T73" s="170"/>
    </row>
    <row r="74" spans="1:20" s="56" customFormat="1">
      <c r="A74" s="47" t="str">
        <f>+A31</f>
        <v>Módulo 3</v>
      </c>
      <c r="B74" s="518">
        <f>+E23</f>
        <v>0</v>
      </c>
      <c r="C74" s="519">
        <v>450</v>
      </c>
      <c r="D74" s="518">
        <f>+C74*B74</f>
        <v>0</v>
      </c>
      <c r="E74" s="49">
        <f>+E27</f>
        <v>827.75000000000011</v>
      </c>
      <c r="F74" s="197">
        <v>400</v>
      </c>
      <c r="G74" s="27">
        <f>+F74*E74</f>
        <v>331100.00000000006</v>
      </c>
      <c r="H74" s="408">
        <f>+E31</f>
        <v>4486.3500000000004</v>
      </c>
      <c r="I74" s="409">
        <v>750</v>
      </c>
      <c r="J74" s="410">
        <f>+I74*H74</f>
        <v>3364762.5000000005</v>
      </c>
      <c r="K74" s="51">
        <f>E74+H74+B74</f>
        <v>5314.1</v>
      </c>
      <c r="L74" s="51">
        <f>+J74+G74+D74</f>
        <v>3695862.5000000005</v>
      </c>
      <c r="M74" s="215">
        <f>+L74*$O$7</f>
        <v>3695862.5000000005</v>
      </c>
      <c r="O74" s="538" t="s">
        <v>111</v>
      </c>
      <c r="P74" s="538"/>
      <c r="Q74" s="539"/>
      <c r="R74" s="547">
        <f>+M24</f>
        <v>1.2E-2</v>
      </c>
      <c r="S74" s="538">
        <f>+S72*R74*(1+$O$12)</f>
        <v>-271295.19025355246</v>
      </c>
      <c r="T74" s="170"/>
    </row>
    <row r="75" spans="1:20" s="56" customFormat="1">
      <c r="A75" s="520" t="str">
        <f>+A32</f>
        <v>Módulo 4</v>
      </c>
      <c r="B75" s="521">
        <f>+E24</f>
        <v>0</v>
      </c>
      <c r="C75" s="522">
        <v>450</v>
      </c>
      <c r="D75" s="521">
        <f>+C75*B75</f>
        <v>0</v>
      </c>
      <c r="E75" s="523">
        <f>+E28</f>
        <v>507.93750000000006</v>
      </c>
      <c r="F75" s="524">
        <v>400</v>
      </c>
      <c r="G75" s="525">
        <f>+F75*E75</f>
        <v>203175.00000000003</v>
      </c>
      <c r="H75" s="526">
        <f>+E32</f>
        <v>2752.9875000000002</v>
      </c>
      <c r="I75" s="409">
        <v>750</v>
      </c>
      <c r="J75" s="461">
        <f>+I75*H75</f>
        <v>2064740.6250000002</v>
      </c>
      <c r="K75" s="412">
        <f>E75+H75+B75</f>
        <v>3260.9250000000002</v>
      </c>
      <c r="L75" s="412">
        <f>+J75+G75+D75</f>
        <v>2267915.6250000005</v>
      </c>
      <c r="M75" s="215">
        <f>+L75*$O$7</f>
        <v>2267915.6250000005</v>
      </c>
      <c r="O75" s="540" t="s">
        <v>112</v>
      </c>
      <c r="P75" s="540"/>
      <c r="Q75" s="541"/>
      <c r="R75" s="542">
        <f>+M25</f>
        <v>1.2E-2</v>
      </c>
      <c r="S75" s="540">
        <f>+R75*S72*(1+$O$12)</f>
        <v>-271295.19025355246</v>
      </c>
      <c r="T75" s="170"/>
    </row>
    <row r="76" spans="1:20" s="56" customFormat="1">
      <c r="A76" s="305" t="s">
        <v>39</v>
      </c>
      <c r="B76" s="220">
        <f>SUM(B72:B75)</f>
        <v>0</v>
      </c>
      <c r="C76" s="220">
        <f>+IF(B76=0,0,D76/B76)</f>
        <v>0</v>
      </c>
      <c r="D76" s="220">
        <f>SUM(D72:D75)</f>
        <v>0</v>
      </c>
      <c r="E76" s="406">
        <f>SUM(E72:E75)</f>
        <v>3010</v>
      </c>
      <c r="F76" s="406">
        <f>+IF(E76=0,0,G76/E76)</f>
        <v>400</v>
      </c>
      <c r="G76" s="406">
        <f>SUM(G72:G75)</f>
        <v>1204000</v>
      </c>
      <c r="H76" s="404">
        <f>SUM(H72:H75)</f>
        <v>16314</v>
      </c>
      <c r="I76" s="404">
        <f>+IF(H76=0,0,J76/H76)</f>
        <v>750</v>
      </c>
      <c r="J76" s="404">
        <f>SUM(J72:J75)</f>
        <v>12235500</v>
      </c>
      <c r="K76" s="400">
        <f>SUM(K72:K75)</f>
        <v>19324</v>
      </c>
      <c r="L76" s="400">
        <f>SUM(L72:L75)</f>
        <v>13439500</v>
      </c>
      <c r="M76" s="418">
        <f>+L76*$O$7</f>
        <v>13439500</v>
      </c>
      <c r="O76" s="543" t="s">
        <v>56</v>
      </c>
      <c r="P76" s="543"/>
      <c r="Q76" s="544"/>
      <c r="R76" s="548">
        <f>+M26</f>
        <v>0</v>
      </c>
      <c r="S76" s="543">
        <f>+R76*S72*(1+O12)</f>
        <v>0</v>
      </c>
      <c r="T76" s="170"/>
    </row>
    <row r="77" spans="1:20" s="56" customFormat="1">
      <c r="B77" s="172"/>
      <c r="C77" s="172"/>
      <c r="D77" s="172"/>
      <c r="M77" s="215"/>
      <c r="O77" s="546" t="s">
        <v>7</v>
      </c>
      <c r="P77" s="546"/>
      <c r="Q77" s="546"/>
      <c r="R77" s="546"/>
      <c r="S77" s="546">
        <f>SUM(S72:S76)</f>
        <v>-20201662.138010908</v>
      </c>
      <c r="T77" s="170"/>
    </row>
    <row r="78" spans="1:20" s="56" customFormat="1">
      <c r="A78" s="15" t="s">
        <v>185</v>
      </c>
      <c r="B78" s="52"/>
      <c r="C78" s="52"/>
      <c r="D78" s="52"/>
      <c r="E78" s="52"/>
      <c r="F78" s="52"/>
      <c r="G78" s="15"/>
      <c r="H78" s="15">
        <f>+E5</f>
        <v>2745.5713999999998</v>
      </c>
      <c r="I78" s="198">
        <v>80</v>
      </c>
      <c r="J78" s="15">
        <f>+I78*H78</f>
        <v>219645.712</v>
      </c>
      <c r="K78" s="411"/>
      <c r="L78" s="411">
        <f>+J78+G78</f>
        <v>219645.712</v>
      </c>
      <c r="M78" s="215">
        <f t="shared" ref="M78:M83" si="1">+L78*$O$7</f>
        <v>219645.712</v>
      </c>
      <c r="O78" s="7"/>
      <c r="P78" s="6"/>
      <c r="Q78" s="6"/>
      <c r="R78" s="6"/>
      <c r="S78" s="6"/>
      <c r="T78" s="170"/>
    </row>
    <row r="79" spans="1:20" s="56" customFormat="1">
      <c r="A79" s="17" t="s">
        <v>175</v>
      </c>
      <c r="B79" s="140"/>
      <c r="C79" s="140"/>
      <c r="D79" s="140"/>
      <c r="E79" s="140"/>
      <c r="F79" s="140"/>
      <c r="G79" s="17"/>
      <c r="H79" s="17">
        <v>0</v>
      </c>
      <c r="I79" s="199">
        <v>0</v>
      </c>
      <c r="J79" s="17">
        <f>+I79*H79</f>
        <v>0</v>
      </c>
      <c r="K79" s="412"/>
      <c r="L79" s="413">
        <v>100000</v>
      </c>
      <c r="M79" s="215">
        <f t="shared" si="1"/>
        <v>100000</v>
      </c>
      <c r="O79" s="538" t="str">
        <f>+I23</f>
        <v>Estructura Legal / Escribanía</v>
      </c>
      <c r="P79" s="538"/>
      <c r="Q79" s="538"/>
      <c r="R79" s="547">
        <f>+M23</f>
        <v>7.4999999999999997E-3</v>
      </c>
      <c r="S79" s="538">
        <f>+R79*$S$77*(1+O12)</f>
        <v>-174239.33594034406</v>
      </c>
      <c r="T79" s="170"/>
    </row>
    <row r="80" spans="1:20" s="56" customFormat="1">
      <c r="A80" s="53" t="s">
        <v>5</v>
      </c>
      <c r="B80" s="53"/>
      <c r="C80" s="53"/>
      <c r="D80" s="53"/>
      <c r="E80" s="53"/>
      <c r="F80" s="53"/>
      <c r="G80" s="53"/>
      <c r="H80" s="54"/>
      <c r="I80" s="54"/>
      <c r="J80" s="53"/>
      <c r="K80" s="414">
        <v>0.05</v>
      </c>
      <c r="L80" s="415">
        <f>+K80*(+$L$79+$L$78+$L$76+$L$69)</f>
        <v>701685.14260000002</v>
      </c>
      <c r="M80" s="215">
        <f t="shared" si="1"/>
        <v>701685.14260000002</v>
      </c>
      <c r="O80" s="540" t="str">
        <f>+I8</f>
        <v>Imp. Sellos</v>
      </c>
      <c r="P80" s="540"/>
      <c r="Q80" s="540"/>
      <c r="R80" s="542">
        <f>+O8</f>
        <v>1.7999999999999999E-2</v>
      </c>
      <c r="S80" s="540">
        <f>+R80*$S$77*(1+$O$12)</f>
        <v>-418174.40625682572</v>
      </c>
      <c r="T80" s="170"/>
    </row>
    <row r="81" spans="1:28" s="56" customFormat="1" ht="15" thickBot="1">
      <c r="A81" s="321" t="s">
        <v>40</v>
      </c>
      <c r="B81" s="321"/>
      <c r="C81" s="321"/>
      <c r="D81" s="321"/>
      <c r="E81" s="321"/>
      <c r="F81" s="321"/>
      <c r="G81" s="321"/>
      <c r="H81" s="321"/>
      <c r="I81" s="321"/>
      <c r="J81" s="321"/>
      <c r="K81" s="322">
        <f>+K76</f>
        <v>19324</v>
      </c>
      <c r="L81" s="322">
        <f>+L80+L79+L78+L76+L69</f>
        <v>14735387.9946</v>
      </c>
      <c r="M81" s="418">
        <f t="shared" si="1"/>
        <v>14735387.9946</v>
      </c>
      <c r="O81" s="540" t="str">
        <f>+I9</f>
        <v>IIBB</v>
      </c>
      <c r="P81" s="540"/>
      <c r="Q81" s="540"/>
      <c r="R81" s="542">
        <f>+O9</f>
        <v>0.04</v>
      </c>
      <c r="S81" s="540">
        <f>+R81*$S$77</f>
        <v>-808066.48552043631</v>
      </c>
      <c r="T81" s="170"/>
    </row>
    <row r="82" spans="1:28" s="56" customFormat="1" ht="15" thickTop="1">
      <c r="A82" s="256" t="s">
        <v>274</v>
      </c>
      <c r="B82" s="172"/>
      <c r="C82" s="172"/>
      <c r="D82" s="172"/>
      <c r="J82" s="41"/>
      <c r="K82" s="148" t="s">
        <v>41</v>
      </c>
      <c r="L82" s="137">
        <f>+L81/K81</f>
        <v>762.54336548333674</v>
      </c>
      <c r="M82" s="215">
        <f t="shared" si="1"/>
        <v>762.54336548333674</v>
      </c>
      <c r="O82" s="543" t="str">
        <f>+I10</f>
        <v>Impuesto a las Transferencias Bancarias</v>
      </c>
      <c r="P82" s="543"/>
      <c r="Q82" s="543"/>
      <c r="R82" s="548">
        <f>+O10*2</f>
        <v>1.2E-2</v>
      </c>
      <c r="S82" s="543">
        <f>+R82*(S77+S79+S80+S81)*(1+$O$12)</f>
        <v>-298109.56464705343</v>
      </c>
      <c r="T82" s="170"/>
    </row>
    <row r="83" spans="1:28" s="56" customFormat="1">
      <c r="A83" s="186"/>
      <c r="B83" s="172"/>
      <c r="C83" s="172"/>
      <c r="D83" s="172"/>
      <c r="E83" s="44"/>
      <c r="F83" s="44"/>
      <c r="G83" s="44"/>
      <c r="J83" s="41"/>
      <c r="K83" s="149" t="s">
        <v>42</v>
      </c>
      <c r="L83" s="137">
        <f>+L82*(1+O12)</f>
        <v>876.9248703058372</v>
      </c>
      <c r="M83" s="215">
        <f t="shared" si="1"/>
        <v>876.9248703058372</v>
      </c>
      <c r="O83" s="546" t="s">
        <v>297</v>
      </c>
      <c r="P83" s="546"/>
      <c r="Q83" s="546"/>
      <c r="R83" s="546"/>
      <c r="S83" s="546">
        <f>SUM(S77:S82)</f>
        <v>-21900251.930375565</v>
      </c>
      <c r="T83" s="170"/>
    </row>
    <row r="84" spans="1:28" s="56" customFormat="1">
      <c r="J84" s="172"/>
      <c r="O84" s="7"/>
      <c r="P84" s="7"/>
      <c r="Q84" s="7"/>
      <c r="R84" s="7"/>
      <c r="S84" s="7"/>
      <c r="T84" s="170"/>
    </row>
    <row r="85" spans="1:28" s="56" customFormat="1">
      <c r="A85" s="172"/>
      <c r="B85" s="172"/>
      <c r="C85" s="172"/>
      <c r="D85" s="172"/>
      <c r="E85" s="172"/>
      <c r="F85" s="172"/>
      <c r="G85" s="172"/>
      <c r="H85" s="172"/>
      <c r="I85" s="172"/>
      <c r="J85" s="172"/>
      <c r="O85" s="546" t="s">
        <v>13</v>
      </c>
      <c r="P85" s="546"/>
      <c r="Q85" s="546"/>
      <c r="R85" s="546"/>
      <c r="S85" s="546">
        <f>+O12*S68+O11*(S69*0.666666666666667+S70+S71+S74+S75+S76+S79/2)</f>
        <v>-2905733.8385238405</v>
      </c>
      <c r="T85" s="170"/>
    </row>
    <row r="86" spans="1:28" s="56" customFormat="1">
      <c r="A86" s="7" t="s">
        <v>309</v>
      </c>
      <c r="O86" s="7"/>
      <c r="P86" s="6"/>
      <c r="Q86" s="6"/>
      <c r="R86" s="6"/>
      <c r="S86" s="6"/>
      <c r="T86" s="170"/>
    </row>
    <row r="87" spans="1:28" s="56" customFormat="1" ht="15" thickBot="1">
      <c r="A87" s="9" t="s">
        <v>304</v>
      </c>
      <c r="B87" s="529">
        <v>300</v>
      </c>
      <c r="C87" s="529">
        <v>300</v>
      </c>
      <c r="D87" s="529">
        <v>300</v>
      </c>
      <c r="E87" s="550">
        <v>300</v>
      </c>
      <c r="F87" s="550">
        <v>300</v>
      </c>
      <c r="G87" s="550">
        <v>300</v>
      </c>
      <c r="H87" s="558">
        <v>250</v>
      </c>
      <c r="I87" s="558">
        <v>300</v>
      </c>
      <c r="J87" s="558">
        <v>350</v>
      </c>
      <c r="O87" s="549" t="s">
        <v>15</v>
      </c>
      <c r="P87" s="549"/>
      <c r="Q87" s="549"/>
      <c r="R87" s="549"/>
      <c r="S87" s="549">
        <f>+S85+S83</f>
        <v>-24805985.768899404</v>
      </c>
      <c r="T87" s="215">
        <f>-S87/F33</f>
        <v>1753.3210184407267</v>
      </c>
    </row>
    <row r="88" spans="1:28" s="56" customFormat="1" ht="15" thickTop="1">
      <c r="A88" s="8" t="s">
        <v>305</v>
      </c>
      <c r="B88" s="525">
        <v>750</v>
      </c>
      <c r="C88" s="525">
        <v>750</v>
      </c>
      <c r="D88" s="525">
        <v>750</v>
      </c>
      <c r="E88" s="559">
        <v>700</v>
      </c>
      <c r="F88" s="559">
        <v>750</v>
      </c>
      <c r="G88" s="559">
        <v>800</v>
      </c>
      <c r="H88" s="521">
        <f>+B88</f>
        <v>750</v>
      </c>
      <c r="I88" s="521">
        <f>+C88</f>
        <v>750</v>
      </c>
      <c r="J88" s="521">
        <f>+D88</f>
        <v>750</v>
      </c>
      <c r="O88" s="99" t="s">
        <v>299</v>
      </c>
      <c r="P88" s="473"/>
      <c r="Q88" s="473"/>
      <c r="R88" s="473"/>
      <c r="S88" s="473">
        <f>+F33+12.5*D33</f>
        <v>15598.000000000002</v>
      </c>
    </row>
    <row r="89" spans="1:28">
      <c r="A89" s="9" t="s">
        <v>306</v>
      </c>
      <c r="B89" s="557">
        <v>2100</v>
      </c>
      <c r="C89" s="557">
        <v>2200</v>
      </c>
      <c r="D89" s="557">
        <v>2300</v>
      </c>
      <c r="E89" s="550">
        <v>2200</v>
      </c>
      <c r="F89" s="550">
        <v>2200</v>
      </c>
      <c r="G89" s="550">
        <v>2200</v>
      </c>
      <c r="H89" s="530">
        <v>2200</v>
      </c>
      <c r="I89" s="530">
        <v>2200</v>
      </c>
      <c r="J89" s="530">
        <v>2200</v>
      </c>
      <c r="O89" s="124" t="s">
        <v>300</v>
      </c>
      <c r="P89" s="473"/>
      <c r="Q89" s="473"/>
      <c r="R89" s="474" t="s">
        <v>301</v>
      </c>
      <c r="S89" s="473">
        <f>-S87/S88</f>
        <v>1590.3311814911783</v>
      </c>
    </row>
    <row r="90" spans="1:28">
      <c r="A90" s="1"/>
      <c r="B90" s="1"/>
      <c r="C90" s="1"/>
      <c r="D90" s="1"/>
      <c r="E90" s="1"/>
      <c r="F90" s="1"/>
      <c r="G90" s="1"/>
      <c r="H90" s="1"/>
      <c r="I90" s="1"/>
      <c r="J90" s="1"/>
      <c r="O90" s="473" t="s">
        <v>303</v>
      </c>
      <c r="P90" s="473"/>
      <c r="Q90" s="473"/>
      <c r="R90" s="474" t="s">
        <v>301</v>
      </c>
      <c r="S90" s="473">
        <f>+S89*12.5</f>
        <v>19879.139768639729</v>
      </c>
    </row>
    <row r="91" spans="1:28">
      <c r="A91" s="10" t="s">
        <v>98</v>
      </c>
      <c r="B91" s="551">
        <v>5568160.0798943983</v>
      </c>
      <c r="C91" s="551">
        <v>6665472.3574247127</v>
      </c>
      <c r="D91" s="551">
        <v>7824098.3084869683</v>
      </c>
      <c r="E91" s="552">
        <v>7622659.1853874056</v>
      </c>
      <c r="F91" s="552">
        <v>6665472.3574247127</v>
      </c>
      <c r="G91" s="552">
        <v>5719742.9952547932</v>
      </c>
      <c r="H91" s="511">
        <v>7557312.483424712</v>
      </c>
      <c r="I91" s="511">
        <v>6665472.3574247127</v>
      </c>
      <c r="J91" s="511">
        <v>5773632.2314247116</v>
      </c>
      <c r="L91" s="473">
        <f>+'Resid - BCase Base CF'!C262/O7</f>
        <v>9696905.8149931524</v>
      </c>
      <c r="O91" s="172" t="s">
        <v>310</v>
      </c>
      <c r="S91" s="172">
        <f>S87/C47</f>
        <v>-108798.1831969272</v>
      </c>
    </row>
    <row r="92" spans="1:28">
      <c r="A92" s="6" t="s">
        <v>48</v>
      </c>
      <c r="B92" s="553">
        <v>0.26960525693763082</v>
      </c>
      <c r="C92" s="553">
        <v>0.31946598723138186</v>
      </c>
      <c r="D92" s="553">
        <v>0.37062669337310838</v>
      </c>
      <c r="E92" s="554">
        <v>0.36310277697201632</v>
      </c>
      <c r="F92" s="554">
        <v>0.31946598723138186</v>
      </c>
      <c r="G92" s="554">
        <v>0.27522144965361917</v>
      </c>
      <c r="H92" s="555">
        <v>0.4139937927256232</v>
      </c>
      <c r="I92" s="555">
        <v>0.31946598723138186</v>
      </c>
      <c r="J92" s="555">
        <v>0.2473161777664552</v>
      </c>
      <c r="L92" s="560">
        <f>+'Resid - BCase Base CF'!C257</f>
        <v>1.0157447454811592</v>
      </c>
    </row>
    <row r="93" spans="1:28">
      <c r="A93" s="8" t="s">
        <v>307</v>
      </c>
      <c r="B93" s="525">
        <v>-5854981.1266930457</v>
      </c>
      <c r="C93" s="525">
        <v>-5863712.3238577824</v>
      </c>
      <c r="D93" s="525">
        <v>-5872443.5210225182</v>
      </c>
      <c r="E93" s="556">
        <v>-5849414.29051698</v>
      </c>
      <c r="F93" s="556">
        <v>-5863712.3238577824</v>
      </c>
      <c r="G93" s="556">
        <v>-5878010.3571985811</v>
      </c>
      <c r="H93" s="521">
        <v>-4971872.1978577832</v>
      </c>
      <c r="I93" s="521">
        <v>-5863712.3238577824</v>
      </c>
      <c r="J93" s="521">
        <v>-6755552.4498577844</v>
      </c>
      <c r="L93" s="473">
        <f>+'Resid - BCase Base CF'!C258/'Resid - Datos'!O7</f>
        <v>-2456665.9678577818</v>
      </c>
    </row>
    <row r="94" spans="1:28">
      <c r="A94" s="473" t="s">
        <v>308</v>
      </c>
    </row>
    <row r="95" spans="1:28">
      <c r="V95" s="56"/>
      <c r="W95" s="56"/>
      <c r="X95" s="56"/>
      <c r="Y95" s="56"/>
      <c r="Z95" s="56"/>
      <c r="AA95" s="56"/>
      <c r="AB95" s="56"/>
    </row>
    <row r="96" spans="1:28">
      <c r="A96" s="180"/>
      <c r="B96" s="180"/>
      <c r="C96" s="180"/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  <c r="R96" s="180"/>
      <c r="S96" s="180"/>
    </row>
    <row r="97" spans="1:19">
      <c r="A97" s="180"/>
      <c r="B97" s="180"/>
      <c r="C97" s="180"/>
      <c r="D97" s="180"/>
      <c r="E97" s="180"/>
      <c r="F97" s="180"/>
      <c r="G97" s="180"/>
      <c r="H97" s="180"/>
      <c r="I97" s="180"/>
      <c r="J97" s="331"/>
      <c r="K97" s="180"/>
      <c r="L97" s="180"/>
      <c r="M97" s="331"/>
      <c r="N97" s="180"/>
      <c r="O97" s="180"/>
      <c r="P97" s="331"/>
      <c r="Q97" s="180"/>
      <c r="R97" s="180"/>
      <c r="S97" s="331"/>
    </row>
    <row r="98" spans="1:19">
      <c r="A98" s="180"/>
      <c r="B98" s="180"/>
      <c r="C98" s="180"/>
      <c r="D98" s="180"/>
      <c r="E98" s="180"/>
      <c r="F98" s="180"/>
      <c r="G98" s="180"/>
      <c r="H98" s="180"/>
      <c r="I98" s="180"/>
      <c r="J98" s="331"/>
      <c r="K98" s="180"/>
      <c r="L98" s="180"/>
      <c r="M98" s="331"/>
      <c r="N98" s="180"/>
      <c r="O98" s="180"/>
      <c r="P98" s="331"/>
      <c r="Q98" s="180"/>
      <c r="R98" s="180"/>
      <c r="S98" s="331"/>
    </row>
    <row r="99" spans="1:19">
      <c r="A99" s="180"/>
      <c r="B99" s="180"/>
      <c r="C99" s="180"/>
      <c r="D99" s="180"/>
      <c r="E99" s="180"/>
      <c r="F99" s="180"/>
      <c r="G99" s="180"/>
      <c r="H99" s="180"/>
      <c r="I99" s="180"/>
      <c r="J99" s="331"/>
      <c r="K99" s="180"/>
      <c r="L99" s="180"/>
      <c r="M99" s="331"/>
      <c r="N99" s="180"/>
      <c r="O99" s="180"/>
      <c r="P99" s="331"/>
      <c r="Q99" s="180"/>
      <c r="R99" s="180"/>
      <c r="S99" s="331"/>
    </row>
    <row r="100" spans="1:19">
      <c r="A100" s="180"/>
      <c r="B100" s="180"/>
      <c r="C100" s="180"/>
      <c r="D100" s="180"/>
      <c r="E100" s="180"/>
      <c r="F100" s="180"/>
      <c r="G100" s="180"/>
      <c r="H100" s="180"/>
      <c r="I100" s="180"/>
      <c r="J100" s="333" t="s">
        <v>189</v>
      </c>
      <c r="K100" s="316"/>
      <c r="L100" s="316"/>
      <c r="M100" s="333" t="s">
        <v>190</v>
      </c>
      <c r="N100" s="316"/>
      <c r="O100" s="316"/>
      <c r="P100" s="333" t="s">
        <v>191</v>
      </c>
      <c r="Q100" s="316"/>
      <c r="R100" s="316"/>
      <c r="S100" s="333" t="s">
        <v>192</v>
      </c>
    </row>
    <row r="101" spans="1:19">
      <c r="A101" s="180"/>
      <c r="B101" s="180"/>
      <c r="C101" s="180"/>
      <c r="D101" s="180"/>
      <c r="E101" s="180"/>
      <c r="F101" s="180"/>
      <c r="G101" s="180"/>
      <c r="H101" s="180"/>
      <c r="I101" s="180"/>
      <c r="J101" s="331"/>
      <c r="K101" s="180"/>
      <c r="L101" s="180"/>
      <c r="M101" s="331"/>
      <c r="N101" s="180"/>
      <c r="O101" s="180"/>
      <c r="P101" s="331"/>
      <c r="Q101" s="180"/>
      <c r="R101" s="180"/>
      <c r="S101" s="331"/>
    </row>
    <row r="102" spans="1:19">
      <c r="A102" s="180"/>
      <c r="B102" s="180"/>
      <c r="C102" s="180"/>
      <c r="D102" s="180"/>
      <c r="E102" s="180"/>
      <c r="F102" s="180"/>
      <c r="G102" s="180"/>
      <c r="H102" s="180"/>
      <c r="I102" s="180"/>
      <c r="J102" s="331"/>
      <c r="K102" s="180"/>
      <c r="L102" s="180"/>
      <c r="M102" s="331"/>
      <c r="N102" s="180"/>
      <c r="O102" s="180"/>
      <c r="P102" s="331"/>
      <c r="Q102" s="180"/>
      <c r="R102" s="180"/>
      <c r="S102" s="331"/>
    </row>
    <row r="103" spans="1:19">
      <c r="A103" s="180"/>
      <c r="B103" s="180"/>
      <c r="C103" s="180"/>
      <c r="D103" s="180"/>
      <c r="E103" s="180"/>
      <c r="F103" s="180"/>
      <c r="G103" s="180"/>
      <c r="H103" s="180"/>
      <c r="I103" s="180"/>
      <c r="J103" s="331"/>
      <c r="K103" s="180"/>
      <c r="L103" s="180"/>
      <c r="M103" s="331"/>
      <c r="N103" s="180"/>
      <c r="O103" s="180"/>
      <c r="P103" s="331"/>
      <c r="Q103" s="180"/>
      <c r="R103" s="180"/>
      <c r="S103" s="331"/>
    </row>
    <row r="104" spans="1:19">
      <c r="A104" s="180"/>
      <c r="B104" s="180"/>
      <c r="C104" s="180"/>
      <c r="D104" s="180"/>
      <c r="E104" s="180"/>
      <c r="F104" s="180"/>
      <c r="G104" s="180"/>
      <c r="H104" s="180"/>
      <c r="I104" s="180"/>
      <c r="J104" s="331"/>
      <c r="K104" s="180"/>
      <c r="L104" s="180"/>
      <c r="M104" s="331"/>
      <c r="N104" s="180"/>
      <c r="O104" s="180"/>
      <c r="P104" s="331"/>
      <c r="Q104" s="180"/>
      <c r="R104" s="180"/>
      <c r="S104" s="331"/>
    </row>
    <row r="105" spans="1:19">
      <c r="A105" s="334" t="s">
        <v>197</v>
      </c>
      <c r="B105" s="180"/>
      <c r="C105" s="180"/>
      <c r="D105" s="180"/>
      <c r="E105" s="180"/>
      <c r="F105" s="180"/>
      <c r="G105" s="180"/>
      <c r="H105" s="180"/>
      <c r="I105" s="180"/>
      <c r="J105" s="332"/>
      <c r="K105" s="180"/>
      <c r="L105" s="180"/>
      <c r="M105" s="332"/>
      <c r="N105" s="180"/>
      <c r="O105" s="180"/>
      <c r="P105" s="332"/>
      <c r="Q105" s="180"/>
      <c r="R105" s="180"/>
      <c r="S105" s="332"/>
    </row>
    <row r="106" spans="1:19">
      <c r="A106" s="336" t="s">
        <v>32</v>
      </c>
      <c r="B106" s="337">
        <v>1</v>
      </c>
      <c r="C106" s="338"/>
      <c r="D106" s="338"/>
      <c r="E106" s="338"/>
      <c r="F106" s="339"/>
      <c r="G106" s="339"/>
      <c r="H106" s="339"/>
      <c r="I106" s="339"/>
      <c r="J106" s="363">
        <v>30</v>
      </c>
      <c r="K106" s="363"/>
      <c r="L106" s="363"/>
      <c r="M106" s="363">
        <v>36</v>
      </c>
      <c r="N106" s="363"/>
      <c r="O106" s="363"/>
      <c r="P106" s="363">
        <v>42</v>
      </c>
      <c r="Q106" s="364"/>
      <c r="R106" s="364"/>
      <c r="S106" s="363">
        <v>48</v>
      </c>
    </row>
    <row r="107" spans="1:19">
      <c r="A107" s="180"/>
      <c r="B107" s="180"/>
      <c r="C107" s="180"/>
      <c r="D107" s="180"/>
      <c r="E107" s="180"/>
      <c r="F107" s="180"/>
      <c r="G107" s="180"/>
      <c r="H107" s="180"/>
      <c r="I107" s="180"/>
      <c r="J107" s="180"/>
      <c r="K107" s="180"/>
      <c r="L107" s="180"/>
      <c r="M107" s="180"/>
      <c r="N107" s="180"/>
      <c r="O107" s="180"/>
      <c r="P107" s="180"/>
      <c r="Q107" s="180"/>
      <c r="R107" s="180"/>
      <c r="S107" s="180"/>
    </row>
    <row r="108" spans="1:19">
      <c r="A108" s="334" t="s">
        <v>193</v>
      </c>
      <c r="B108" s="335"/>
      <c r="C108" s="335"/>
      <c r="D108" s="335"/>
      <c r="E108" s="335"/>
      <c r="F108" s="335"/>
      <c r="G108" s="335"/>
      <c r="H108" s="335"/>
      <c r="I108" s="335"/>
      <c r="J108" s="335"/>
      <c r="K108" s="335"/>
      <c r="L108" s="335"/>
      <c r="M108" s="317"/>
      <c r="N108" s="317"/>
      <c r="O108" s="334"/>
      <c r="P108" s="2"/>
      <c r="Q108" s="2"/>
      <c r="R108" s="2"/>
      <c r="S108" s="2"/>
    </row>
    <row r="109" spans="1:19">
      <c r="A109" s="340" t="str">
        <f>+J100</f>
        <v>Ed. 1</v>
      </c>
      <c r="B109" s="341" t="s">
        <v>194</v>
      </c>
      <c r="C109" s="342" t="s">
        <v>195</v>
      </c>
      <c r="D109" s="342" t="s">
        <v>195</v>
      </c>
      <c r="E109" s="342" t="s">
        <v>195</v>
      </c>
      <c r="F109" s="342" t="s">
        <v>195</v>
      </c>
      <c r="G109" s="342" t="s">
        <v>195</v>
      </c>
      <c r="H109" s="342" t="s">
        <v>195</v>
      </c>
      <c r="I109" s="342" t="s">
        <v>195</v>
      </c>
      <c r="J109" s="343" t="s">
        <v>196</v>
      </c>
      <c r="K109" s="344"/>
      <c r="L109" s="344"/>
      <c r="M109" s="344"/>
      <c r="N109" s="344"/>
      <c r="O109" s="344"/>
      <c r="P109" s="344"/>
      <c r="Q109" s="345"/>
      <c r="R109" s="345"/>
      <c r="S109" s="346"/>
    </row>
    <row r="110" spans="1:19">
      <c r="A110" s="347" t="str">
        <f>+M100</f>
        <v>Ed. 2</v>
      </c>
      <c r="B110" s="348" t="s">
        <v>194</v>
      </c>
      <c r="C110" s="349" t="s">
        <v>195</v>
      </c>
      <c r="D110" s="349" t="s">
        <v>195</v>
      </c>
      <c r="E110" s="349" t="s">
        <v>195</v>
      </c>
      <c r="F110" s="349" t="s">
        <v>195</v>
      </c>
      <c r="G110" s="349" t="s">
        <v>195</v>
      </c>
      <c r="H110" s="349" t="s">
        <v>195</v>
      </c>
      <c r="I110" s="349" t="s">
        <v>195</v>
      </c>
      <c r="J110" s="349" t="s">
        <v>195</v>
      </c>
      <c r="K110" s="349" t="s">
        <v>195</v>
      </c>
      <c r="L110" s="349" t="s">
        <v>195</v>
      </c>
      <c r="M110" s="350" t="s">
        <v>196</v>
      </c>
      <c r="N110" s="351"/>
      <c r="O110" s="351"/>
      <c r="P110" s="351"/>
      <c r="Q110" s="352"/>
      <c r="R110" s="352"/>
      <c r="S110" s="353"/>
    </row>
    <row r="111" spans="1:19">
      <c r="A111" s="347" t="str">
        <f>+P100</f>
        <v>Ed. 3</v>
      </c>
      <c r="B111" s="348" t="s">
        <v>194</v>
      </c>
      <c r="C111" s="349" t="s">
        <v>195</v>
      </c>
      <c r="D111" s="349" t="s">
        <v>195</v>
      </c>
      <c r="E111" s="349" t="s">
        <v>195</v>
      </c>
      <c r="F111" s="349" t="s">
        <v>195</v>
      </c>
      <c r="G111" s="349" t="s">
        <v>195</v>
      </c>
      <c r="H111" s="349" t="s">
        <v>195</v>
      </c>
      <c r="I111" s="349" t="s">
        <v>195</v>
      </c>
      <c r="J111" s="349" t="s">
        <v>195</v>
      </c>
      <c r="K111" s="349" t="s">
        <v>195</v>
      </c>
      <c r="L111" s="349" t="s">
        <v>195</v>
      </c>
      <c r="M111" s="349" t="s">
        <v>195</v>
      </c>
      <c r="N111" s="349" t="s">
        <v>195</v>
      </c>
      <c r="O111" s="349" t="s">
        <v>195</v>
      </c>
      <c r="P111" s="350" t="s">
        <v>196</v>
      </c>
      <c r="Q111" s="352"/>
      <c r="R111" s="352"/>
      <c r="S111" s="353"/>
    </row>
    <row r="112" spans="1:19">
      <c r="A112" s="354" t="str">
        <f>+S100</f>
        <v>Ed. 4</v>
      </c>
      <c r="B112" s="355" t="s">
        <v>194</v>
      </c>
      <c r="C112" s="356" t="s">
        <v>195</v>
      </c>
      <c r="D112" s="356" t="s">
        <v>195</v>
      </c>
      <c r="E112" s="356" t="s">
        <v>195</v>
      </c>
      <c r="F112" s="356" t="s">
        <v>195</v>
      </c>
      <c r="G112" s="356" t="s">
        <v>195</v>
      </c>
      <c r="H112" s="356" t="s">
        <v>195</v>
      </c>
      <c r="I112" s="356" t="s">
        <v>195</v>
      </c>
      <c r="J112" s="356" t="s">
        <v>195</v>
      </c>
      <c r="K112" s="356" t="s">
        <v>195</v>
      </c>
      <c r="L112" s="356" t="s">
        <v>195</v>
      </c>
      <c r="M112" s="356" t="s">
        <v>195</v>
      </c>
      <c r="N112" s="356" t="s">
        <v>195</v>
      </c>
      <c r="O112" s="356" t="s">
        <v>195</v>
      </c>
      <c r="P112" s="356" t="s">
        <v>195</v>
      </c>
      <c r="Q112" s="356" t="s">
        <v>195</v>
      </c>
      <c r="R112" s="356" t="s">
        <v>195</v>
      </c>
      <c r="S112" s="357" t="s">
        <v>196</v>
      </c>
    </row>
    <row r="113" spans="1:19">
      <c r="A113" s="56"/>
      <c r="B113" s="56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</row>
    <row r="114" spans="1:19">
      <c r="A114" s="56"/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</row>
    <row r="115" spans="1:19">
      <c r="A115" s="7" t="s">
        <v>249</v>
      </c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</row>
    <row r="116" spans="1:19">
      <c r="A116" s="420"/>
      <c r="B116" s="420"/>
      <c r="C116" s="420"/>
      <c r="D116" s="422" t="s">
        <v>130</v>
      </c>
      <c r="E116" s="422" t="s">
        <v>131</v>
      </c>
      <c r="F116" s="422" t="s">
        <v>133</v>
      </c>
      <c r="G116" s="424" t="s">
        <v>244</v>
      </c>
      <c r="H116" s="424" t="s">
        <v>245</v>
      </c>
      <c r="I116" s="424" t="s">
        <v>246</v>
      </c>
      <c r="J116" s="312" t="s">
        <v>129</v>
      </c>
      <c r="K116" s="218" t="s">
        <v>132</v>
      </c>
      <c r="L116" s="56"/>
      <c r="M116" s="56"/>
      <c r="N116" s="56"/>
      <c r="O116" s="56"/>
      <c r="P116" s="56"/>
      <c r="Q116" s="56"/>
      <c r="R116" s="56"/>
      <c r="S116" s="56"/>
    </row>
    <row r="117" spans="1:19">
      <c r="A117" s="421" t="s">
        <v>250</v>
      </c>
      <c r="B117" s="421"/>
      <c r="C117" s="421"/>
      <c r="D117" s="423">
        <f>+M33*D44</f>
        <v>114400</v>
      </c>
      <c r="E117" s="423">
        <f>+N35</f>
        <v>20000</v>
      </c>
      <c r="F117" s="423">
        <f>+E117+D117</f>
        <v>134400</v>
      </c>
      <c r="G117" s="404">
        <f>+D117*$O$7</f>
        <v>114400</v>
      </c>
      <c r="H117" s="404">
        <f>+E117*$O$7</f>
        <v>20000</v>
      </c>
      <c r="I117" s="404">
        <f>+F117*$O$7</f>
        <v>134400</v>
      </c>
      <c r="J117" s="219">
        <f>+G117*O5</f>
        <v>4461600</v>
      </c>
      <c r="K117" s="219">
        <f>+I117*O5</f>
        <v>5241600</v>
      </c>
      <c r="L117" s="56"/>
      <c r="M117" s="56"/>
      <c r="N117" s="56"/>
      <c r="O117" s="56"/>
      <c r="P117" s="56"/>
      <c r="Q117" s="56"/>
      <c r="R117" s="56"/>
      <c r="S117" s="56"/>
    </row>
    <row r="118" spans="1:19">
      <c r="A118" s="56"/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</row>
    <row r="119" spans="1:19">
      <c r="A119" s="217" t="str">
        <f>+I45</f>
        <v>Boleto</v>
      </c>
      <c r="B119" s="217"/>
      <c r="C119" s="217"/>
      <c r="D119" s="402">
        <f>+D117*$M$45</f>
        <v>11440</v>
      </c>
      <c r="E119" s="402">
        <f>+E117*$M$45</f>
        <v>2000</v>
      </c>
      <c r="F119" s="402">
        <f>+E119+D119</f>
        <v>13440</v>
      </c>
      <c r="G119" s="404">
        <f t="shared" ref="G119:I125" si="2">+D119*$O$7</f>
        <v>11440</v>
      </c>
      <c r="H119" s="404">
        <f t="shared" si="2"/>
        <v>2000</v>
      </c>
      <c r="I119" s="404">
        <f t="shared" si="2"/>
        <v>13440</v>
      </c>
      <c r="J119" s="220">
        <f>+G119*$O$5</f>
        <v>446160</v>
      </c>
      <c r="K119" s="220">
        <f>+I119*$O$5</f>
        <v>524160</v>
      </c>
      <c r="L119" s="56"/>
      <c r="M119" s="56"/>
      <c r="N119" s="56"/>
      <c r="O119" s="56"/>
      <c r="P119" s="56"/>
      <c r="Q119" s="56"/>
      <c r="R119" s="56"/>
      <c r="S119" s="56"/>
    </row>
    <row r="120" spans="1:19">
      <c r="A120" s="7" t="s">
        <v>188</v>
      </c>
      <c r="B120" s="7"/>
      <c r="C120" s="7"/>
      <c r="D120" s="399">
        <f>+D117*$M$46</f>
        <v>22880</v>
      </c>
      <c r="E120" s="399">
        <f>+E117*$M$46</f>
        <v>4000</v>
      </c>
      <c r="F120" s="399">
        <f>+E120+D120</f>
        <v>26880</v>
      </c>
      <c r="G120" s="407">
        <f t="shared" si="2"/>
        <v>22880</v>
      </c>
      <c r="H120" s="407">
        <f t="shared" si="2"/>
        <v>4000</v>
      </c>
      <c r="I120" s="407">
        <f t="shared" si="2"/>
        <v>26880</v>
      </c>
      <c r="J120" s="248">
        <f>+G120*$O$5</f>
        <v>892320</v>
      </c>
      <c r="K120" s="248">
        <f>+I120*$O$5</f>
        <v>1048320</v>
      </c>
      <c r="L120" s="56"/>
      <c r="M120" s="56"/>
      <c r="N120" s="56"/>
      <c r="O120" s="56"/>
      <c r="P120" s="56"/>
      <c r="Q120" s="56"/>
      <c r="R120" s="56"/>
      <c r="S120" s="56"/>
    </row>
    <row r="121" spans="1:19">
      <c r="A121" s="216" t="str">
        <f>+A72</f>
        <v>Módulo 1</v>
      </c>
      <c r="B121" s="221">
        <f>30+5</f>
        <v>35</v>
      </c>
      <c r="C121" s="6"/>
      <c r="D121" s="459">
        <f>+$D$120/B121</f>
        <v>653.71428571428567</v>
      </c>
      <c r="E121" s="459">
        <f>+$E$120/B121</f>
        <v>114.28571428571429</v>
      </c>
      <c r="F121" s="459">
        <f>+E121+D121</f>
        <v>768</v>
      </c>
      <c r="G121" s="458">
        <f t="shared" si="2"/>
        <v>653.71428571428567</v>
      </c>
      <c r="H121" s="458">
        <f t="shared" si="2"/>
        <v>114.28571428571429</v>
      </c>
      <c r="I121" s="458">
        <f t="shared" si="2"/>
        <v>768</v>
      </c>
      <c r="J121" s="454">
        <f>+G121*$O$5</f>
        <v>25494.857142857141</v>
      </c>
      <c r="K121" s="454">
        <f>+I121*$O$5</f>
        <v>29952</v>
      </c>
      <c r="L121" s="416"/>
      <c r="M121" s="56"/>
      <c r="N121" s="56"/>
      <c r="O121" s="56"/>
      <c r="P121" s="56"/>
      <c r="Q121" s="56"/>
      <c r="R121" s="56"/>
      <c r="S121" s="56"/>
    </row>
    <row r="122" spans="1:19">
      <c r="A122" s="216" t="str">
        <f>+A73</f>
        <v>Módulo 2</v>
      </c>
      <c r="B122" s="221">
        <f>36+6</f>
        <v>42</v>
      </c>
      <c r="C122" s="6"/>
      <c r="D122" s="459">
        <f>+$D$120/B122</f>
        <v>544.76190476190482</v>
      </c>
      <c r="E122" s="459">
        <f>+$E$120/B122</f>
        <v>95.238095238095241</v>
      </c>
      <c r="F122" s="459">
        <f t="shared" ref="F122:F124" si="3">+E122+D122</f>
        <v>640</v>
      </c>
      <c r="G122" s="458">
        <f t="shared" si="2"/>
        <v>544.76190476190482</v>
      </c>
      <c r="H122" s="458">
        <f t="shared" si="2"/>
        <v>95.238095238095241</v>
      </c>
      <c r="I122" s="458">
        <f t="shared" si="2"/>
        <v>640</v>
      </c>
      <c r="J122" s="454">
        <f>+G122*$O$5</f>
        <v>21245.714285714286</v>
      </c>
      <c r="K122" s="454">
        <f>+I122*$O$5</f>
        <v>24960</v>
      </c>
      <c r="L122" s="416"/>
      <c r="M122" s="56"/>
      <c r="N122" s="56"/>
      <c r="O122" s="56"/>
      <c r="P122" s="56"/>
      <c r="Q122" s="56"/>
      <c r="R122" s="56"/>
      <c r="S122" s="56"/>
    </row>
    <row r="123" spans="1:19">
      <c r="A123" s="216" t="str">
        <f>+A74</f>
        <v>Módulo 3</v>
      </c>
      <c r="B123" s="221">
        <f>42+7</f>
        <v>49</v>
      </c>
      <c r="C123" s="6"/>
      <c r="D123" s="459">
        <f>+$D$120/B123</f>
        <v>466.9387755102041</v>
      </c>
      <c r="E123" s="459">
        <f>+$E$120/B123</f>
        <v>81.632653061224488</v>
      </c>
      <c r="F123" s="459">
        <f t="shared" si="3"/>
        <v>548.57142857142856</v>
      </c>
      <c r="G123" s="458">
        <f t="shared" si="2"/>
        <v>466.9387755102041</v>
      </c>
      <c r="H123" s="458">
        <f t="shared" si="2"/>
        <v>81.632653061224488</v>
      </c>
      <c r="I123" s="458">
        <f t="shared" si="2"/>
        <v>548.57142857142856</v>
      </c>
      <c r="J123" s="454">
        <f>+G123*$O$5</f>
        <v>18210.612244897959</v>
      </c>
      <c r="K123" s="454">
        <f>+I123*$O$5</f>
        <v>21394.285714285714</v>
      </c>
      <c r="L123" s="416"/>
      <c r="M123" s="56"/>
      <c r="N123" s="56"/>
      <c r="O123" s="56"/>
      <c r="P123" s="56"/>
      <c r="Q123" s="56"/>
      <c r="R123" s="56"/>
      <c r="S123" s="56"/>
    </row>
    <row r="124" spans="1:19">
      <c r="A124" s="216" t="str">
        <f>+A75</f>
        <v>Módulo 4</v>
      </c>
      <c r="B124" s="221">
        <f>48+8</f>
        <v>56</v>
      </c>
      <c r="C124" s="6"/>
      <c r="D124" s="459">
        <f>+$D$120/B124</f>
        <v>408.57142857142856</v>
      </c>
      <c r="E124" s="459">
        <f>+$E$120/B124</f>
        <v>71.428571428571431</v>
      </c>
      <c r="F124" s="459">
        <f t="shared" si="3"/>
        <v>480</v>
      </c>
      <c r="G124" s="458">
        <f t="shared" si="2"/>
        <v>408.57142857142856</v>
      </c>
      <c r="H124" s="458">
        <f t="shared" si="2"/>
        <v>71.428571428571431</v>
      </c>
      <c r="I124" s="458">
        <f t="shared" si="2"/>
        <v>480</v>
      </c>
      <c r="J124" s="455">
        <f>+G124*$O$5</f>
        <v>15934.285714285714</v>
      </c>
      <c r="K124" s="455">
        <f>+I124*$O$5</f>
        <v>18720</v>
      </c>
      <c r="L124" s="416"/>
      <c r="M124" s="56"/>
      <c r="N124" s="56"/>
      <c r="O124" s="56"/>
      <c r="P124" s="56"/>
      <c r="Q124" s="56"/>
      <c r="R124" s="56"/>
      <c r="S124" s="56"/>
    </row>
    <row r="125" spans="1:19">
      <c r="A125" s="217" t="s">
        <v>31</v>
      </c>
      <c r="B125" s="217"/>
      <c r="C125" s="217"/>
      <c r="D125" s="402">
        <f>+D117*$M$47</f>
        <v>80080</v>
      </c>
      <c r="E125" s="402">
        <f>+E117*$M$47</f>
        <v>14000</v>
      </c>
      <c r="F125" s="402">
        <f>+E125+D125</f>
        <v>94080</v>
      </c>
      <c r="G125" s="404">
        <f t="shared" si="2"/>
        <v>80080</v>
      </c>
      <c r="H125" s="404">
        <f t="shared" si="2"/>
        <v>14000</v>
      </c>
      <c r="I125" s="404">
        <f t="shared" si="2"/>
        <v>94080</v>
      </c>
      <c r="J125" s="220">
        <f>+G125*$O$5</f>
        <v>3123120</v>
      </c>
      <c r="K125" s="220">
        <f>+I125*$O$5</f>
        <v>3669120</v>
      </c>
      <c r="L125" s="56"/>
      <c r="M125" s="56"/>
      <c r="N125" s="56"/>
      <c r="O125" s="56"/>
      <c r="P125" s="56"/>
      <c r="Q125" s="56"/>
      <c r="R125" s="56"/>
      <c r="S125" s="56"/>
    </row>
    <row r="126" spans="1:19">
      <c r="A126" s="56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</row>
    <row r="127" spans="1:19">
      <c r="A127" s="18" t="s">
        <v>134</v>
      </c>
      <c r="B127" s="18"/>
      <c r="C127" s="7"/>
      <c r="D127" s="18"/>
      <c r="E127" s="18"/>
      <c r="F127" s="242"/>
      <c r="G127" s="7"/>
      <c r="H127" s="7"/>
      <c r="I127" s="7"/>
      <c r="J127" s="7"/>
      <c r="K127" s="7"/>
      <c r="L127" s="56"/>
      <c r="M127" s="56"/>
      <c r="N127" s="56"/>
      <c r="O127" s="56"/>
      <c r="P127" s="56"/>
      <c r="Q127" s="56"/>
      <c r="R127" s="56"/>
      <c r="S127" s="56"/>
    </row>
    <row r="128" spans="1:19">
      <c r="A128" s="243" t="s">
        <v>97</v>
      </c>
      <c r="B128" s="243"/>
      <c r="C128" s="246">
        <v>0.7</v>
      </c>
      <c r="D128" s="276" t="s">
        <v>150</v>
      </c>
      <c r="E128" s="243"/>
      <c r="F128" s="1"/>
      <c r="G128" s="460"/>
      <c r="H128" s="460"/>
      <c r="I128" s="460"/>
      <c r="J128" s="248">
        <f>+J125-J117*(1-$C$128)</f>
        <v>1784639.9999999998</v>
      </c>
      <c r="K128" s="248">
        <f>+K125-K117*(1-$C$128)</f>
        <v>2096639.9999999998</v>
      </c>
    </row>
    <row r="129" spans="1:11">
      <c r="A129" s="244" t="s">
        <v>101</v>
      </c>
      <c r="B129" s="244"/>
      <c r="C129" s="247">
        <f>378*O6/O5</f>
        <v>258.00923076923078</v>
      </c>
      <c r="D129" s="244" t="s">
        <v>377</v>
      </c>
      <c r="E129" s="244"/>
      <c r="F129" s="1"/>
      <c r="G129" s="461">
        <f>+J129/O5</f>
        <v>460.45359359999992</v>
      </c>
      <c r="H129" s="461">
        <f>+I129-G129</f>
        <v>80.498880000000156</v>
      </c>
      <c r="I129" s="461">
        <f>+K129/O5</f>
        <v>540.95247360000008</v>
      </c>
      <c r="J129" s="219">
        <f>+$C$129*J128*O5/1000000</f>
        <v>17957.690150399998</v>
      </c>
      <c r="K129" s="219">
        <f>+$C$129*K128*O5/1000000</f>
        <v>21097.146470400003</v>
      </c>
    </row>
    <row r="130" spans="1:11">
      <c r="A130" s="217" t="s">
        <v>142</v>
      </c>
      <c r="B130" s="217"/>
      <c r="C130" s="245">
        <v>0.25</v>
      </c>
      <c r="D130" s="217"/>
      <c r="E130" s="217"/>
      <c r="F130" s="1"/>
      <c r="G130" s="252"/>
      <c r="H130" s="252"/>
      <c r="I130" s="252"/>
      <c r="J130" s="220">
        <f>+J129/$C$130</f>
        <v>71830.760601599992</v>
      </c>
      <c r="K130" s="220">
        <f>+K129/$C$130</f>
        <v>84388.585881600011</v>
      </c>
    </row>
    <row r="131" spans="1:11">
      <c r="A131" s="175" t="s">
        <v>248</v>
      </c>
      <c r="B131" s="7"/>
      <c r="C131" s="1"/>
      <c r="D131" s="7"/>
      <c r="E131" s="7"/>
      <c r="F131" s="457">
        <v>0.11</v>
      </c>
      <c r="G131" s="7"/>
      <c r="H131" s="7"/>
      <c r="I131" s="1"/>
      <c r="J131" s="1"/>
      <c r="K131" s="1"/>
    </row>
    <row r="132" spans="1:11">
      <c r="A132" s="456" t="s">
        <v>247</v>
      </c>
      <c r="B132" s="456"/>
      <c r="C132" s="456"/>
      <c r="D132" s="456"/>
      <c r="E132" s="1"/>
      <c r="F132" s="1"/>
      <c r="G132" s="1"/>
      <c r="H132" s="1"/>
      <c r="I132" s="1"/>
      <c r="J132" s="1"/>
      <c r="K132" s="1"/>
    </row>
    <row r="133" spans="1:11">
      <c r="A133" s="330" t="s">
        <v>181</v>
      </c>
      <c r="B133" s="7"/>
      <c r="C133" s="7"/>
      <c r="D133" s="7"/>
      <c r="E133" s="7"/>
      <c r="F133" s="7"/>
      <c r="G133" s="7"/>
      <c r="H133" s="1"/>
      <c r="I133" s="1"/>
      <c r="J133" s="1"/>
      <c r="K133" s="1"/>
    </row>
  </sheetData>
  <mergeCells count="6">
    <mergeCell ref="K67:L67"/>
    <mergeCell ref="B19:D19"/>
    <mergeCell ref="E19:F19"/>
    <mergeCell ref="B67:D67"/>
    <mergeCell ref="E67:G67"/>
    <mergeCell ref="H67:J67"/>
  </mergeCells>
  <phoneticPr fontId="3" type="noConversion"/>
  <hyperlinks>
    <hyperlink ref="A133" r:id="rId1" xr:uid="{00000000-0004-0000-0100-000000000000}"/>
  </hyperlinks>
  <printOptions horizontalCentered="1"/>
  <pageMargins left="0.25" right="0.25" top="0.75" bottom="0.75" header="0.3" footer="0.3"/>
  <pageSetup paperSize="9" scale="55"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6" tint="-0.499984740745262"/>
    <pageSetUpPr fitToPage="1"/>
  </sheetPr>
  <dimension ref="A1:XAT334"/>
  <sheetViews>
    <sheetView showGridLines="0" topLeftCell="A4" zoomScaleNormal="100" workbookViewId="0">
      <pane xSplit="3" ySplit="2" topLeftCell="D294" activePane="bottomRight" state="frozen"/>
      <selection activeCell="D43" sqref="D43"/>
      <selection pane="topRight" activeCell="D43" sqref="D43"/>
      <selection pane="bottomLeft" activeCell="D43" sqref="D43"/>
      <selection pane="bottomRight" activeCell="D329" sqref="D329:M329"/>
    </sheetView>
  </sheetViews>
  <sheetFormatPr baseColWidth="10" defaultRowHeight="15" outlineLevelRow="4"/>
  <cols>
    <col min="1" max="1" width="42.83203125" style="61" bestFit="1" customWidth="1"/>
    <col min="2" max="2" width="8.33203125" style="61" customWidth="1"/>
    <col min="3" max="3" width="11.5" style="61" customWidth="1"/>
    <col min="4" max="69" width="10.83203125" style="61" customWidth="1"/>
    <col min="70" max="141" width="11.5" style="127"/>
    <col min="142" max="142" width="50.1640625" style="127" customWidth="1"/>
    <col min="143" max="143" width="15.83203125" style="127" bestFit="1" customWidth="1"/>
    <col min="144" max="144" width="17" style="127" bestFit="1" customWidth="1"/>
    <col min="145" max="161" width="13.5" style="127" bestFit="1" customWidth="1"/>
    <col min="162" max="165" width="13.83203125" style="127" bestFit="1" customWidth="1"/>
    <col min="166" max="180" width="14.5" style="127" bestFit="1" customWidth="1"/>
    <col min="181" max="198" width="13.83203125" style="127" bestFit="1" customWidth="1"/>
    <col min="199" max="206" width="14.5" style="127" bestFit="1" customWidth="1"/>
    <col min="207" max="209" width="13.83203125" style="127" bestFit="1" customWidth="1"/>
    <col min="210" max="223" width="15" style="127" bestFit="1" customWidth="1"/>
    <col min="224" max="324" width="14.5" style="127" bestFit="1" customWidth="1"/>
    <col min="325" max="325" width="14.5" style="127" customWidth="1"/>
    <col min="326" max="397" width="11.5" style="127"/>
    <col min="398" max="398" width="50.1640625" style="127" customWidth="1"/>
    <col min="399" max="399" width="15.83203125" style="127" bestFit="1" customWidth="1"/>
    <col min="400" max="400" width="17" style="127" bestFit="1" customWidth="1"/>
    <col min="401" max="417" width="13.5" style="127" bestFit="1" customWidth="1"/>
    <col min="418" max="421" width="13.83203125" style="127" bestFit="1" customWidth="1"/>
    <col min="422" max="436" width="14.5" style="127" bestFit="1" customWidth="1"/>
    <col min="437" max="454" width="13.83203125" style="127" bestFit="1" customWidth="1"/>
    <col min="455" max="462" width="14.5" style="127" bestFit="1" customWidth="1"/>
    <col min="463" max="465" width="13.83203125" style="127" bestFit="1" customWidth="1"/>
    <col min="466" max="479" width="15" style="127" bestFit="1" customWidth="1"/>
    <col min="480" max="580" width="14.5" style="127" bestFit="1" customWidth="1"/>
    <col min="581" max="581" width="14.5" style="127" customWidth="1"/>
    <col min="582" max="653" width="11.5" style="127"/>
    <col min="654" max="654" width="50.1640625" style="127" customWidth="1"/>
    <col min="655" max="655" width="15.83203125" style="127" bestFit="1" customWidth="1"/>
    <col min="656" max="656" width="17" style="127" bestFit="1" customWidth="1"/>
    <col min="657" max="673" width="13.5" style="127" bestFit="1" customWidth="1"/>
    <col min="674" max="677" width="13.83203125" style="127" bestFit="1" customWidth="1"/>
    <col min="678" max="692" width="14.5" style="127" bestFit="1" customWidth="1"/>
    <col min="693" max="710" width="13.83203125" style="127" bestFit="1" customWidth="1"/>
    <col min="711" max="718" width="14.5" style="127" bestFit="1" customWidth="1"/>
    <col min="719" max="721" width="13.83203125" style="127" bestFit="1" customWidth="1"/>
    <col min="722" max="735" width="15" style="127" bestFit="1" customWidth="1"/>
    <col min="736" max="836" width="14.5" style="127" bestFit="1" customWidth="1"/>
    <col min="837" max="837" width="14.5" style="127" customWidth="1"/>
    <col min="838" max="909" width="11.5" style="127"/>
    <col min="910" max="910" width="50.1640625" style="127" customWidth="1"/>
    <col min="911" max="911" width="15.83203125" style="127" bestFit="1" customWidth="1"/>
    <col min="912" max="912" width="17" style="127" bestFit="1" customWidth="1"/>
    <col min="913" max="929" width="13.5" style="127" bestFit="1" customWidth="1"/>
    <col min="930" max="933" width="13.83203125" style="127" bestFit="1" customWidth="1"/>
    <col min="934" max="948" width="14.5" style="127" bestFit="1" customWidth="1"/>
    <col min="949" max="966" width="13.83203125" style="127" bestFit="1" customWidth="1"/>
    <col min="967" max="974" width="14.5" style="127" bestFit="1" customWidth="1"/>
    <col min="975" max="977" width="13.83203125" style="127" bestFit="1" customWidth="1"/>
    <col min="978" max="991" width="15" style="127" bestFit="1" customWidth="1"/>
    <col min="992" max="1092" width="14.5" style="127" bestFit="1" customWidth="1"/>
    <col min="1093" max="1093" width="14.5" style="127" customWidth="1"/>
    <col min="1094" max="1165" width="11.5" style="127"/>
    <col min="1166" max="1166" width="50.1640625" style="127" customWidth="1"/>
    <col min="1167" max="1167" width="15.83203125" style="127" bestFit="1" customWidth="1"/>
    <col min="1168" max="1168" width="17" style="127" bestFit="1" customWidth="1"/>
    <col min="1169" max="1185" width="13.5" style="127" bestFit="1" customWidth="1"/>
    <col min="1186" max="1189" width="13.83203125" style="127" bestFit="1" customWidth="1"/>
    <col min="1190" max="1204" width="14.5" style="127" bestFit="1" customWidth="1"/>
    <col min="1205" max="1222" width="13.83203125" style="127" bestFit="1" customWidth="1"/>
    <col min="1223" max="1230" width="14.5" style="127" bestFit="1" customWidth="1"/>
    <col min="1231" max="1233" width="13.83203125" style="127" bestFit="1" customWidth="1"/>
    <col min="1234" max="1247" width="15" style="127" bestFit="1" customWidth="1"/>
    <col min="1248" max="1348" width="14.5" style="127" bestFit="1" customWidth="1"/>
    <col min="1349" max="1349" width="14.5" style="127" customWidth="1"/>
    <col min="1350" max="1421" width="11.5" style="127"/>
    <col min="1422" max="1422" width="50.1640625" style="127" customWidth="1"/>
    <col min="1423" max="1423" width="15.83203125" style="127" bestFit="1" customWidth="1"/>
    <col min="1424" max="1424" width="17" style="127" bestFit="1" customWidth="1"/>
    <col min="1425" max="1441" width="13.5" style="127" bestFit="1" customWidth="1"/>
    <col min="1442" max="1445" width="13.83203125" style="127" bestFit="1" customWidth="1"/>
    <col min="1446" max="1460" width="14.5" style="127" bestFit="1" customWidth="1"/>
    <col min="1461" max="1478" width="13.83203125" style="127" bestFit="1" customWidth="1"/>
    <col min="1479" max="1486" width="14.5" style="127" bestFit="1" customWidth="1"/>
    <col min="1487" max="1489" width="13.83203125" style="127" bestFit="1" customWidth="1"/>
    <col min="1490" max="1503" width="15" style="127" bestFit="1" customWidth="1"/>
    <col min="1504" max="1604" width="14.5" style="127" bestFit="1" customWidth="1"/>
    <col min="1605" max="1605" width="14.5" style="127" customWidth="1"/>
    <col min="1606" max="1677" width="11.5" style="127"/>
    <col min="1678" max="1678" width="50.1640625" style="127" customWidth="1"/>
    <col min="1679" max="1679" width="15.83203125" style="127" bestFit="1" customWidth="1"/>
    <col min="1680" max="1680" width="17" style="127" bestFit="1" customWidth="1"/>
    <col min="1681" max="1697" width="13.5" style="127" bestFit="1" customWidth="1"/>
    <col min="1698" max="1701" width="13.83203125" style="127" bestFit="1" customWidth="1"/>
    <col min="1702" max="1716" width="14.5" style="127" bestFit="1" customWidth="1"/>
    <col min="1717" max="1734" width="13.83203125" style="127" bestFit="1" customWidth="1"/>
    <col min="1735" max="1742" width="14.5" style="127" bestFit="1" customWidth="1"/>
    <col min="1743" max="1745" width="13.83203125" style="127" bestFit="1" customWidth="1"/>
    <col min="1746" max="1759" width="15" style="127" bestFit="1" customWidth="1"/>
    <col min="1760" max="1860" width="14.5" style="127" bestFit="1" customWidth="1"/>
    <col min="1861" max="1861" width="14.5" style="127" customWidth="1"/>
    <col min="1862" max="1933" width="11.5" style="127"/>
    <col min="1934" max="1934" width="50.1640625" style="127" customWidth="1"/>
    <col min="1935" max="1935" width="15.83203125" style="127" bestFit="1" customWidth="1"/>
    <col min="1936" max="1936" width="17" style="127" bestFit="1" customWidth="1"/>
    <col min="1937" max="1953" width="13.5" style="127" bestFit="1" customWidth="1"/>
    <col min="1954" max="1957" width="13.83203125" style="127" bestFit="1" customWidth="1"/>
    <col min="1958" max="1972" width="14.5" style="127" bestFit="1" customWidth="1"/>
    <col min="1973" max="1990" width="13.83203125" style="127" bestFit="1" customWidth="1"/>
    <col min="1991" max="1998" width="14.5" style="127" bestFit="1" customWidth="1"/>
    <col min="1999" max="2001" width="13.83203125" style="127" bestFit="1" customWidth="1"/>
    <col min="2002" max="2015" width="15" style="127" bestFit="1" customWidth="1"/>
    <col min="2016" max="2116" width="14.5" style="127" bestFit="1" customWidth="1"/>
    <col min="2117" max="2117" width="14.5" style="127" customWidth="1"/>
    <col min="2118" max="2189" width="11.5" style="127"/>
    <col min="2190" max="2190" width="50.1640625" style="127" customWidth="1"/>
    <col min="2191" max="2191" width="15.83203125" style="127" bestFit="1" customWidth="1"/>
    <col min="2192" max="2192" width="17" style="127" bestFit="1" customWidth="1"/>
    <col min="2193" max="2209" width="13.5" style="127" bestFit="1" customWidth="1"/>
    <col min="2210" max="2213" width="13.83203125" style="127" bestFit="1" customWidth="1"/>
    <col min="2214" max="2228" width="14.5" style="127" bestFit="1" customWidth="1"/>
    <col min="2229" max="2246" width="13.83203125" style="127" bestFit="1" customWidth="1"/>
    <col min="2247" max="2254" width="14.5" style="127" bestFit="1" customWidth="1"/>
    <col min="2255" max="2257" width="13.83203125" style="127" bestFit="1" customWidth="1"/>
    <col min="2258" max="2271" width="15" style="127" bestFit="1" customWidth="1"/>
    <col min="2272" max="2372" width="14.5" style="127" bestFit="1" customWidth="1"/>
    <col min="2373" max="2373" width="14.5" style="127" customWidth="1"/>
    <col min="2374" max="2445" width="11.5" style="127"/>
    <col min="2446" max="2446" width="50.1640625" style="127" customWidth="1"/>
    <col min="2447" max="2447" width="15.83203125" style="127" bestFit="1" customWidth="1"/>
    <col min="2448" max="2448" width="17" style="127" bestFit="1" customWidth="1"/>
    <col min="2449" max="2465" width="13.5" style="127" bestFit="1" customWidth="1"/>
    <col min="2466" max="2469" width="13.83203125" style="127" bestFit="1" customWidth="1"/>
    <col min="2470" max="2484" width="14.5" style="127" bestFit="1" customWidth="1"/>
    <col min="2485" max="2502" width="13.83203125" style="127" bestFit="1" customWidth="1"/>
    <col min="2503" max="2510" width="14.5" style="127" bestFit="1" customWidth="1"/>
    <col min="2511" max="2513" width="13.83203125" style="127" bestFit="1" customWidth="1"/>
    <col min="2514" max="2527" width="15" style="127" bestFit="1" customWidth="1"/>
    <col min="2528" max="2628" width="14.5" style="127" bestFit="1" customWidth="1"/>
    <col min="2629" max="2629" width="14.5" style="127" customWidth="1"/>
    <col min="2630" max="2701" width="11.5" style="127"/>
    <col min="2702" max="2702" width="50.1640625" style="127" customWidth="1"/>
    <col min="2703" max="2703" width="15.83203125" style="127" bestFit="1" customWidth="1"/>
    <col min="2704" max="2704" width="17" style="127" bestFit="1" customWidth="1"/>
    <col min="2705" max="2721" width="13.5" style="127" bestFit="1" customWidth="1"/>
    <col min="2722" max="2725" width="13.83203125" style="127" bestFit="1" customWidth="1"/>
    <col min="2726" max="2740" width="14.5" style="127" bestFit="1" customWidth="1"/>
    <col min="2741" max="2758" width="13.83203125" style="127" bestFit="1" customWidth="1"/>
    <col min="2759" max="2766" width="14.5" style="127" bestFit="1" customWidth="1"/>
    <col min="2767" max="2769" width="13.83203125" style="127" bestFit="1" customWidth="1"/>
    <col min="2770" max="2783" width="15" style="127" bestFit="1" customWidth="1"/>
    <col min="2784" max="2884" width="14.5" style="127" bestFit="1" customWidth="1"/>
    <col min="2885" max="2885" width="14.5" style="127" customWidth="1"/>
    <col min="2886" max="2957" width="11.5" style="127"/>
    <col min="2958" max="2958" width="50.1640625" style="127" customWidth="1"/>
    <col min="2959" max="2959" width="15.83203125" style="127" bestFit="1" customWidth="1"/>
    <col min="2960" max="2960" width="17" style="127" bestFit="1" customWidth="1"/>
    <col min="2961" max="2977" width="13.5" style="127" bestFit="1" customWidth="1"/>
    <col min="2978" max="2981" width="13.83203125" style="127" bestFit="1" customWidth="1"/>
    <col min="2982" max="2996" width="14.5" style="127" bestFit="1" customWidth="1"/>
    <col min="2997" max="3014" width="13.83203125" style="127" bestFit="1" customWidth="1"/>
    <col min="3015" max="3022" width="14.5" style="127" bestFit="1" customWidth="1"/>
    <col min="3023" max="3025" width="13.83203125" style="127" bestFit="1" customWidth="1"/>
    <col min="3026" max="3039" width="15" style="127" bestFit="1" customWidth="1"/>
    <col min="3040" max="3140" width="14.5" style="127" bestFit="1" customWidth="1"/>
    <col min="3141" max="3141" width="14.5" style="127" customWidth="1"/>
    <col min="3142" max="3213" width="11.5" style="127"/>
    <col min="3214" max="3214" width="50.1640625" style="127" customWidth="1"/>
    <col min="3215" max="3215" width="15.83203125" style="127" bestFit="1" customWidth="1"/>
    <col min="3216" max="3216" width="17" style="127" bestFit="1" customWidth="1"/>
    <col min="3217" max="3233" width="13.5" style="127" bestFit="1" customWidth="1"/>
    <col min="3234" max="3237" width="13.83203125" style="127" bestFit="1" customWidth="1"/>
    <col min="3238" max="3252" width="14.5" style="127" bestFit="1" customWidth="1"/>
    <col min="3253" max="3270" width="13.83203125" style="127" bestFit="1" customWidth="1"/>
    <col min="3271" max="3278" width="14.5" style="127" bestFit="1" customWidth="1"/>
    <col min="3279" max="3281" width="13.83203125" style="127" bestFit="1" customWidth="1"/>
    <col min="3282" max="3295" width="15" style="127" bestFit="1" customWidth="1"/>
    <col min="3296" max="3396" width="14.5" style="127" bestFit="1" customWidth="1"/>
    <col min="3397" max="3397" width="14.5" style="127" customWidth="1"/>
    <col min="3398" max="3469" width="11.5" style="127"/>
    <col min="3470" max="3470" width="50.1640625" style="127" customWidth="1"/>
    <col min="3471" max="3471" width="15.83203125" style="127" bestFit="1" customWidth="1"/>
    <col min="3472" max="3472" width="17" style="127" bestFit="1" customWidth="1"/>
    <col min="3473" max="3489" width="13.5" style="127" bestFit="1" customWidth="1"/>
    <col min="3490" max="3493" width="13.83203125" style="127" bestFit="1" customWidth="1"/>
    <col min="3494" max="3508" width="14.5" style="127" bestFit="1" customWidth="1"/>
    <col min="3509" max="3526" width="13.83203125" style="127" bestFit="1" customWidth="1"/>
    <col min="3527" max="3534" width="14.5" style="127" bestFit="1" customWidth="1"/>
    <col min="3535" max="3537" width="13.83203125" style="127" bestFit="1" customWidth="1"/>
    <col min="3538" max="3551" width="15" style="127" bestFit="1" customWidth="1"/>
    <col min="3552" max="3652" width="14.5" style="127" bestFit="1" customWidth="1"/>
    <col min="3653" max="3653" width="14.5" style="127" customWidth="1"/>
    <col min="3654" max="3725" width="11.5" style="127"/>
    <col min="3726" max="3726" width="50.1640625" style="127" customWidth="1"/>
    <col min="3727" max="3727" width="15.83203125" style="127" bestFit="1" customWidth="1"/>
    <col min="3728" max="3728" width="17" style="127" bestFit="1" customWidth="1"/>
    <col min="3729" max="3745" width="13.5" style="127" bestFit="1" customWidth="1"/>
    <col min="3746" max="3749" width="13.83203125" style="127" bestFit="1" customWidth="1"/>
    <col min="3750" max="3764" width="14.5" style="127" bestFit="1" customWidth="1"/>
    <col min="3765" max="3782" width="13.83203125" style="127" bestFit="1" customWidth="1"/>
    <col min="3783" max="3790" width="14.5" style="127" bestFit="1" customWidth="1"/>
    <col min="3791" max="3793" width="13.83203125" style="127" bestFit="1" customWidth="1"/>
    <col min="3794" max="3807" width="15" style="127" bestFit="1" customWidth="1"/>
    <col min="3808" max="3908" width="14.5" style="127" bestFit="1" customWidth="1"/>
    <col min="3909" max="3909" width="14.5" style="127" customWidth="1"/>
    <col min="3910" max="3981" width="11.5" style="127"/>
    <col min="3982" max="3982" width="50.1640625" style="127" customWidth="1"/>
    <col min="3983" max="3983" width="15.83203125" style="127" bestFit="1" customWidth="1"/>
    <col min="3984" max="3984" width="17" style="127" bestFit="1" customWidth="1"/>
    <col min="3985" max="4001" width="13.5" style="127" bestFit="1" customWidth="1"/>
    <col min="4002" max="4005" width="13.83203125" style="127" bestFit="1" customWidth="1"/>
    <col min="4006" max="4020" width="14.5" style="127" bestFit="1" customWidth="1"/>
    <col min="4021" max="4038" width="13.83203125" style="127" bestFit="1" customWidth="1"/>
    <col min="4039" max="4046" width="14.5" style="127" bestFit="1" customWidth="1"/>
    <col min="4047" max="4049" width="13.83203125" style="127" bestFit="1" customWidth="1"/>
    <col min="4050" max="4063" width="15" style="127" bestFit="1" customWidth="1"/>
    <col min="4064" max="4164" width="14.5" style="127" bestFit="1" customWidth="1"/>
    <col min="4165" max="4165" width="14.5" style="127" customWidth="1"/>
    <col min="4166" max="4237" width="11.5" style="127"/>
    <col min="4238" max="4238" width="50.1640625" style="127" customWidth="1"/>
    <col min="4239" max="4239" width="15.83203125" style="127" bestFit="1" customWidth="1"/>
    <col min="4240" max="4240" width="17" style="127" bestFit="1" customWidth="1"/>
    <col min="4241" max="4257" width="13.5" style="127" bestFit="1" customWidth="1"/>
    <col min="4258" max="4261" width="13.83203125" style="127" bestFit="1" customWidth="1"/>
    <col min="4262" max="4276" width="14.5" style="127" bestFit="1" customWidth="1"/>
    <col min="4277" max="4294" width="13.83203125" style="127" bestFit="1" customWidth="1"/>
    <col min="4295" max="4302" width="14.5" style="127" bestFit="1" customWidth="1"/>
    <col min="4303" max="4305" width="13.83203125" style="127" bestFit="1" customWidth="1"/>
    <col min="4306" max="4319" width="15" style="127" bestFit="1" customWidth="1"/>
    <col min="4320" max="4420" width="14.5" style="127" bestFit="1" customWidth="1"/>
    <col min="4421" max="4421" width="14.5" style="127" customWidth="1"/>
    <col min="4422" max="4493" width="11.5" style="127"/>
    <col min="4494" max="4494" width="50.1640625" style="127" customWidth="1"/>
    <col min="4495" max="4495" width="15.83203125" style="127" bestFit="1" customWidth="1"/>
    <col min="4496" max="4496" width="17" style="127" bestFit="1" customWidth="1"/>
    <col min="4497" max="4513" width="13.5" style="127" bestFit="1" customWidth="1"/>
    <col min="4514" max="4517" width="13.83203125" style="127" bestFit="1" customWidth="1"/>
    <col min="4518" max="4532" width="14.5" style="127" bestFit="1" customWidth="1"/>
    <col min="4533" max="4550" width="13.83203125" style="127" bestFit="1" customWidth="1"/>
    <col min="4551" max="4558" width="14.5" style="127" bestFit="1" customWidth="1"/>
    <col min="4559" max="4561" width="13.83203125" style="127" bestFit="1" customWidth="1"/>
    <col min="4562" max="4575" width="15" style="127" bestFit="1" customWidth="1"/>
    <col min="4576" max="4676" width="14.5" style="127" bestFit="1" customWidth="1"/>
    <col min="4677" max="4677" width="14.5" style="127" customWidth="1"/>
    <col min="4678" max="4749" width="11.5" style="127"/>
    <col min="4750" max="4750" width="50.1640625" style="127" customWidth="1"/>
    <col min="4751" max="4751" width="15.83203125" style="127" bestFit="1" customWidth="1"/>
    <col min="4752" max="4752" width="17" style="127" bestFit="1" customWidth="1"/>
    <col min="4753" max="4769" width="13.5" style="127" bestFit="1" customWidth="1"/>
    <col min="4770" max="4773" width="13.83203125" style="127" bestFit="1" customWidth="1"/>
    <col min="4774" max="4788" width="14.5" style="127" bestFit="1" customWidth="1"/>
    <col min="4789" max="4806" width="13.83203125" style="127" bestFit="1" customWidth="1"/>
    <col min="4807" max="4814" width="14.5" style="127" bestFit="1" customWidth="1"/>
    <col min="4815" max="4817" width="13.83203125" style="127" bestFit="1" customWidth="1"/>
    <col min="4818" max="4831" width="15" style="127" bestFit="1" customWidth="1"/>
    <col min="4832" max="4932" width="14.5" style="127" bestFit="1" customWidth="1"/>
    <col min="4933" max="4933" width="14.5" style="127" customWidth="1"/>
    <col min="4934" max="5005" width="11.5" style="127"/>
    <col min="5006" max="5006" width="50.1640625" style="127" customWidth="1"/>
    <col min="5007" max="5007" width="15.83203125" style="127" bestFit="1" customWidth="1"/>
    <col min="5008" max="5008" width="17" style="127" bestFit="1" customWidth="1"/>
    <col min="5009" max="5025" width="13.5" style="127" bestFit="1" customWidth="1"/>
    <col min="5026" max="5029" width="13.83203125" style="127" bestFit="1" customWidth="1"/>
    <col min="5030" max="5044" width="14.5" style="127" bestFit="1" customWidth="1"/>
    <col min="5045" max="5062" width="13.83203125" style="127" bestFit="1" customWidth="1"/>
    <col min="5063" max="5070" width="14.5" style="127" bestFit="1" customWidth="1"/>
    <col min="5071" max="5073" width="13.83203125" style="127" bestFit="1" customWidth="1"/>
    <col min="5074" max="5087" width="15" style="127" bestFit="1" customWidth="1"/>
    <col min="5088" max="5188" width="14.5" style="127" bestFit="1" customWidth="1"/>
    <col min="5189" max="5189" width="14.5" style="127" customWidth="1"/>
    <col min="5190" max="5261" width="11.5" style="127"/>
    <col min="5262" max="5262" width="50.1640625" style="127" customWidth="1"/>
    <col min="5263" max="5263" width="15.83203125" style="127" bestFit="1" customWidth="1"/>
    <col min="5264" max="5264" width="17" style="127" bestFit="1" customWidth="1"/>
    <col min="5265" max="5281" width="13.5" style="127" bestFit="1" customWidth="1"/>
    <col min="5282" max="5285" width="13.83203125" style="127" bestFit="1" customWidth="1"/>
    <col min="5286" max="5300" width="14.5" style="127" bestFit="1" customWidth="1"/>
    <col min="5301" max="5318" width="13.83203125" style="127" bestFit="1" customWidth="1"/>
    <col min="5319" max="5326" width="14.5" style="127" bestFit="1" customWidth="1"/>
    <col min="5327" max="5329" width="13.83203125" style="127" bestFit="1" customWidth="1"/>
    <col min="5330" max="5343" width="15" style="127" bestFit="1" customWidth="1"/>
    <col min="5344" max="5444" width="14.5" style="127" bestFit="1" customWidth="1"/>
    <col min="5445" max="5445" width="14.5" style="127" customWidth="1"/>
    <col min="5446" max="5517" width="11.5" style="127"/>
    <col min="5518" max="5518" width="50.1640625" style="127" customWidth="1"/>
    <col min="5519" max="5519" width="15.83203125" style="127" bestFit="1" customWidth="1"/>
    <col min="5520" max="5520" width="17" style="127" bestFit="1" customWidth="1"/>
    <col min="5521" max="5537" width="13.5" style="127" bestFit="1" customWidth="1"/>
    <col min="5538" max="5541" width="13.83203125" style="127" bestFit="1" customWidth="1"/>
    <col min="5542" max="5556" width="14.5" style="127" bestFit="1" customWidth="1"/>
    <col min="5557" max="5574" width="13.83203125" style="127" bestFit="1" customWidth="1"/>
    <col min="5575" max="5582" width="14.5" style="127" bestFit="1" customWidth="1"/>
    <col min="5583" max="5585" width="13.83203125" style="127" bestFit="1" customWidth="1"/>
    <col min="5586" max="5599" width="15" style="127" bestFit="1" customWidth="1"/>
    <col min="5600" max="5700" width="14.5" style="127" bestFit="1" customWidth="1"/>
    <col min="5701" max="5701" width="14.5" style="127" customWidth="1"/>
    <col min="5702" max="5773" width="11.5" style="127"/>
    <col min="5774" max="5774" width="50.1640625" style="127" customWidth="1"/>
    <col min="5775" max="5775" width="15.83203125" style="127" bestFit="1" customWidth="1"/>
    <col min="5776" max="5776" width="17" style="127" bestFit="1" customWidth="1"/>
    <col min="5777" max="5793" width="13.5" style="127" bestFit="1" customWidth="1"/>
    <col min="5794" max="5797" width="13.83203125" style="127" bestFit="1" customWidth="1"/>
    <col min="5798" max="5812" width="14.5" style="127" bestFit="1" customWidth="1"/>
    <col min="5813" max="5830" width="13.83203125" style="127" bestFit="1" customWidth="1"/>
    <col min="5831" max="5838" width="14.5" style="127" bestFit="1" customWidth="1"/>
    <col min="5839" max="5841" width="13.83203125" style="127" bestFit="1" customWidth="1"/>
    <col min="5842" max="5855" width="15" style="127" bestFit="1" customWidth="1"/>
    <col min="5856" max="5956" width="14.5" style="127" bestFit="1" customWidth="1"/>
    <col min="5957" max="5957" width="14.5" style="127" customWidth="1"/>
    <col min="5958" max="6029" width="11.5" style="127"/>
    <col min="6030" max="6030" width="50.1640625" style="127" customWidth="1"/>
    <col min="6031" max="6031" width="15.83203125" style="127" bestFit="1" customWidth="1"/>
    <col min="6032" max="6032" width="17" style="127" bestFit="1" customWidth="1"/>
    <col min="6033" max="6049" width="13.5" style="127" bestFit="1" customWidth="1"/>
    <col min="6050" max="6053" width="13.83203125" style="127" bestFit="1" customWidth="1"/>
    <col min="6054" max="6068" width="14.5" style="127" bestFit="1" customWidth="1"/>
    <col min="6069" max="6086" width="13.83203125" style="127" bestFit="1" customWidth="1"/>
    <col min="6087" max="6094" width="14.5" style="127" bestFit="1" customWidth="1"/>
    <col min="6095" max="6097" width="13.83203125" style="127" bestFit="1" customWidth="1"/>
    <col min="6098" max="6111" width="15" style="127" bestFit="1" customWidth="1"/>
    <col min="6112" max="6212" width="14.5" style="127" bestFit="1" customWidth="1"/>
    <col min="6213" max="6213" width="14.5" style="127" customWidth="1"/>
    <col min="6214" max="6285" width="11.5" style="127"/>
    <col min="6286" max="6286" width="50.1640625" style="127" customWidth="1"/>
    <col min="6287" max="6287" width="15.83203125" style="127" bestFit="1" customWidth="1"/>
    <col min="6288" max="6288" width="17" style="127" bestFit="1" customWidth="1"/>
    <col min="6289" max="6305" width="13.5" style="127" bestFit="1" customWidth="1"/>
    <col min="6306" max="6309" width="13.83203125" style="127" bestFit="1" customWidth="1"/>
    <col min="6310" max="6324" width="14.5" style="127" bestFit="1" customWidth="1"/>
    <col min="6325" max="6342" width="13.83203125" style="127" bestFit="1" customWidth="1"/>
    <col min="6343" max="6350" width="14.5" style="127" bestFit="1" customWidth="1"/>
    <col min="6351" max="6353" width="13.83203125" style="127" bestFit="1" customWidth="1"/>
    <col min="6354" max="6367" width="15" style="127" bestFit="1" customWidth="1"/>
    <col min="6368" max="6468" width="14.5" style="127" bestFit="1" customWidth="1"/>
    <col min="6469" max="6469" width="14.5" style="127" customWidth="1"/>
    <col min="6470" max="6541" width="11.5" style="127"/>
    <col min="6542" max="6542" width="50.1640625" style="127" customWidth="1"/>
    <col min="6543" max="6543" width="15.83203125" style="127" bestFit="1" customWidth="1"/>
    <col min="6544" max="6544" width="17" style="127" bestFit="1" customWidth="1"/>
    <col min="6545" max="6561" width="13.5" style="127" bestFit="1" customWidth="1"/>
    <col min="6562" max="6565" width="13.83203125" style="127" bestFit="1" customWidth="1"/>
    <col min="6566" max="6580" width="14.5" style="127" bestFit="1" customWidth="1"/>
    <col min="6581" max="6598" width="13.83203125" style="127" bestFit="1" customWidth="1"/>
    <col min="6599" max="6606" width="14.5" style="127" bestFit="1" customWidth="1"/>
    <col min="6607" max="6609" width="13.83203125" style="127" bestFit="1" customWidth="1"/>
    <col min="6610" max="6623" width="15" style="127" bestFit="1" customWidth="1"/>
    <col min="6624" max="6724" width="14.5" style="127" bestFit="1" customWidth="1"/>
    <col min="6725" max="6725" width="14.5" style="127" customWidth="1"/>
    <col min="6726" max="6797" width="11.5" style="127"/>
    <col min="6798" max="6798" width="50.1640625" style="127" customWidth="1"/>
    <col min="6799" max="6799" width="15.83203125" style="127" bestFit="1" customWidth="1"/>
    <col min="6800" max="6800" width="17" style="127" bestFit="1" customWidth="1"/>
    <col min="6801" max="6817" width="13.5" style="127" bestFit="1" customWidth="1"/>
    <col min="6818" max="6821" width="13.83203125" style="127" bestFit="1" customWidth="1"/>
    <col min="6822" max="6836" width="14.5" style="127" bestFit="1" customWidth="1"/>
    <col min="6837" max="6854" width="13.83203125" style="127" bestFit="1" customWidth="1"/>
    <col min="6855" max="6862" width="14.5" style="127" bestFit="1" customWidth="1"/>
    <col min="6863" max="6865" width="13.83203125" style="127" bestFit="1" customWidth="1"/>
    <col min="6866" max="6879" width="15" style="127" bestFit="1" customWidth="1"/>
    <col min="6880" max="6980" width="14.5" style="127" bestFit="1" customWidth="1"/>
    <col min="6981" max="6981" width="14.5" style="127" customWidth="1"/>
    <col min="6982" max="7053" width="11.5" style="127"/>
    <col min="7054" max="7054" width="50.1640625" style="127" customWidth="1"/>
    <col min="7055" max="7055" width="15.83203125" style="127" bestFit="1" customWidth="1"/>
    <col min="7056" max="7056" width="17" style="127" bestFit="1" customWidth="1"/>
    <col min="7057" max="7073" width="13.5" style="127" bestFit="1" customWidth="1"/>
    <col min="7074" max="7077" width="13.83203125" style="127" bestFit="1" customWidth="1"/>
    <col min="7078" max="7092" width="14.5" style="127" bestFit="1" customWidth="1"/>
    <col min="7093" max="7110" width="13.83203125" style="127" bestFit="1" customWidth="1"/>
    <col min="7111" max="7118" width="14.5" style="127" bestFit="1" customWidth="1"/>
    <col min="7119" max="7121" width="13.83203125" style="127" bestFit="1" customWidth="1"/>
    <col min="7122" max="7135" width="15" style="127" bestFit="1" customWidth="1"/>
    <col min="7136" max="7236" width="14.5" style="127" bestFit="1" customWidth="1"/>
    <col min="7237" max="7237" width="14.5" style="127" customWidth="1"/>
    <col min="7238" max="7309" width="11.5" style="127"/>
    <col min="7310" max="7310" width="50.1640625" style="127" customWidth="1"/>
    <col min="7311" max="7311" width="15.83203125" style="127" bestFit="1" customWidth="1"/>
    <col min="7312" max="7312" width="17" style="127" bestFit="1" customWidth="1"/>
    <col min="7313" max="7329" width="13.5" style="127" bestFit="1" customWidth="1"/>
    <col min="7330" max="7333" width="13.83203125" style="127" bestFit="1" customWidth="1"/>
    <col min="7334" max="7348" width="14.5" style="127" bestFit="1" customWidth="1"/>
    <col min="7349" max="7366" width="13.83203125" style="127" bestFit="1" customWidth="1"/>
    <col min="7367" max="7374" width="14.5" style="127" bestFit="1" customWidth="1"/>
    <col min="7375" max="7377" width="13.83203125" style="127" bestFit="1" customWidth="1"/>
    <col min="7378" max="7391" width="15" style="127" bestFit="1" customWidth="1"/>
    <col min="7392" max="7492" width="14.5" style="127" bestFit="1" customWidth="1"/>
    <col min="7493" max="7493" width="14.5" style="127" customWidth="1"/>
    <col min="7494" max="7565" width="11.5" style="127"/>
    <col min="7566" max="7566" width="50.1640625" style="127" customWidth="1"/>
    <col min="7567" max="7567" width="15.83203125" style="127" bestFit="1" customWidth="1"/>
    <col min="7568" max="7568" width="17" style="127" bestFit="1" customWidth="1"/>
    <col min="7569" max="7585" width="13.5" style="127" bestFit="1" customWidth="1"/>
    <col min="7586" max="7589" width="13.83203125" style="127" bestFit="1" customWidth="1"/>
    <col min="7590" max="7604" width="14.5" style="127" bestFit="1" customWidth="1"/>
    <col min="7605" max="7622" width="13.83203125" style="127" bestFit="1" customWidth="1"/>
    <col min="7623" max="7630" width="14.5" style="127" bestFit="1" customWidth="1"/>
    <col min="7631" max="7633" width="13.83203125" style="127" bestFit="1" customWidth="1"/>
    <col min="7634" max="7647" width="15" style="127" bestFit="1" customWidth="1"/>
    <col min="7648" max="7748" width="14.5" style="127" bestFit="1" customWidth="1"/>
    <col min="7749" max="7749" width="14.5" style="127" customWidth="1"/>
    <col min="7750" max="7821" width="11.5" style="127"/>
    <col min="7822" max="7822" width="50.1640625" style="127" customWidth="1"/>
    <col min="7823" max="7823" width="15.83203125" style="127" bestFit="1" customWidth="1"/>
    <col min="7824" max="7824" width="17" style="127" bestFit="1" customWidth="1"/>
    <col min="7825" max="7841" width="13.5" style="127" bestFit="1" customWidth="1"/>
    <col min="7842" max="7845" width="13.83203125" style="127" bestFit="1" customWidth="1"/>
    <col min="7846" max="7860" width="14.5" style="127" bestFit="1" customWidth="1"/>
    <col min="7861" max="7878" width="13.83203125" style="127" bestFit="1" customWidth="1"/>
    <col min="7879" max="7886" width="14.5" style="127" bestFit="1" customWidth="1"/>
    <col min="7887" max="7889" width="13.83203125" style="127" bestFit="1" customWidth="1"/>
    <col min="7890" max="7903" width="15" style="127" bestFit="1" customWidth="1"/>
    <col min="7904" max="8004" width="14.5" style="127" bestFit="1" customWidth="1"/>
    <col min="8005" max="8005" width="14.5" style="127" customWidth="1"/>
    <col min="8006" max="8077" width="11.5" style="127"/>
    <col min="8078" max="8078" width="50.1640625" style="127" customWidth="1"/>
    <col min="8079" max="8079" width="15.83203125" style="127" bestFit="1" customWidth="1"/>
    <col min="8080" max="8080" width="17" style="127" bestFit="1" customWidth="1"/>
    <col min="8081" max="8097" width="13.5" style="127" bestFit="1" customWidth="1"/>
    <col min="8098" max="8101" width="13.83203125" style="127" bestFit="1" customWidth="1"/>
    <col min="8102" max="8116" width="14.5" style="127" bestFit="1" customWidth="1"/>
    <col min="8117" max="8134" width="13.83203125" style="127" bestFit="1" customWidth="1"/>
    <col min="8135" max="8142" width="14.5" style="127" bestFit="1" customWidth="1"/>
    <col min="8143" max="8145" width="13.83203125" style="127" bestFit="1" customWidth="1"/>
    <col min="8146" max="8159" width="15" style="127" bestFit="1" customWidth="1"/>
    <col min="8160" max="8260" width="14.5" style="127" bestFit="1" customWidth="1"/>
    <col min="8261" max="8261" width="14.5" style="127" customWidth="1"/>
    <col min="8262" max="8333" width="11.5" style="127"/>
    <col min="8334" max="8334" width="50.1640625" style="127" customWidth="1"/>
    <col min="8335" max="8335" width="15.83203125" style="127" bestFit="1" customWidth="1"/>
    <col min="8336" max="8336" width="17" style="127" bestFit="1" customWidth="1"/>
    <col min="8337" max="8353" width="13.5" style="127" bestFit="1" customWidth="1"/>
    <col min="8354" max="8357" width="13.83203125" style="127" bestFit="1" customWidth="1"/>
    <col min="8358" max="8372" width="14.5" style="127" bestFit="1" customWidth="1"/>
    <col min="8373" max="8390" width="13.83203125" style="127" bestFit="1" customWidth="1"/>
    <col min="8391" max="8398" width="14.5" style="127" bestFit="1" customWidth="1"/>
    <col min="8399" max="8401" width="13.83203125" style="127" bestFit="1" customWidth="1"/>
    <col min="8402" max="8415" width="15" style="127" bestFit="1" customWidth="1"/>
    <col min="8416" max="8516" width="14.5" style="127" bestFit="1" customWidth="1"/>
    <col min="8517" max="8517" width="14.5" style="127" customWidth="1"/>
    <col min="8518" max="8589" width="11.5" style="127"/>
    <col min="8590" max="8590" width="50.1640625" style="127" customWidth="1"/>
    <col min="8591" max="8591" width="15.83203125" style="127" bestFit="1" customWidth="1"/>
    <col min="8592" max="8592" width="17" style="127" bestFit="1" customWidth="1"/>
    <col min="8593" max="8609" width="13.5" style="127" bestFit="1" customWidth="1"/>
    <col min="8610" max="8613" width="13.83203125" style="127" bestFit="1" customWidth="1"/>
    <col min="8614" max="8628" width="14.5" style="127" bestFit="1" customWidth="1"/>
    <col min="8629" max="8646" width="13.83203125" style="127" bestFit="1" customWidth="1"/>
    <col min="8647" max="8654" width="14.5" style="127" bestFit="1" customWidth="1"/>
    <col min="8655" max="8657" width="13.83203125" style="127" bestFit="1" customWidth="1"/>
    <col min="8658" max="8671" width="15" style="127" bestFit="1" customWidth="1"/>
    <col min="8672" max="8772" width="14.5" style="127" bestFit="1" customWidth="1"/>
    <col min="8773" max="8773" width="14.5" style="127" customWidth="1"/>
    <col min="8774" max="8845" width="11.5" style="127"/>
    <col min="8846" max="8846" width="50.1640625" style="127" customWidth="1"/>
    <col min="8847" max="8847" width="15.83203125" style="127" bestFit="1" customWidth="1"/>
    <col min="8848" max="8848" width="17" style="127" bestFit="1" customWidth="1"/>
    <col min="8849" max="8865" width="13.5" style="127" bestFit="1" customWidth="1"/>
    <col min="8866" max="8869" width="13.83203125" style="127" bestFit="1" customWidth="1"/>
    <col min="8870" max="8884" width="14.5" style="127" bestFit="1" customWidth="1"/>
    <col min="8885" max="8902" width="13.83203125" style="127" bestFit="1" customWidth="1"/>
    <col min="8903" max="8910" width="14.5" style="127" bestFit="1" customWidth="1"/>
    <col min="8911" max="8913" width="13.83203125" style="127" bestFit="1" customWidth="1"/>
    <col min="8914" max="8927" width="15" style="127" bestFit="1" customWidth="1"/>
    <col min="8928" max="9028" width="14.5" style="127" bestFit="1" customWidth="1"/>
    <col min="9029" max="9029" width="14.5" style="127" customWidth="1"/>
    <col min="9030" max="9101" width="11.5" style="127"/>
    <col min="9102" max="9102" width="50.1640625" style="127" customWidth="1"/>
    <col min="9103" max="9103" width="15.83203125" style="127" bestFit="1" customWidth="1"/>
    <col min="9104" max="9104" width="17" style="127" bestFit="1" customWidth="1"/>
    <col min="9105" max="9121" width="13.5" style="127" bestFit="1" customWidth="1"/>
    <col min="9122" max="9125" width="13.83203125" style="127" bestFit="1" customWidth="1"/>
    <col min="9126" max="9140" width="14.5" style="127" bestFit="1" customWidth="1"/>
    <col min="9141" max="9158" width="13.83203125" style="127" bestFit="1" customWidth="1"/>
    <col min="9159" max="9166" width="14.5" style="127" bestFit="1" customWidth="1"/>
    <col min="9167" max="9169" width="13.83203125" style="127" bestFit="1" customWidth="1"/>
    <col min="9170" max="9183" width="15" style="127" bestFit="1" customWidth="1"/>
    <col min="9184" max="9284" width="14.5" style="127" bestFit="1" customWidth="1"/>
    <col min="9285" max="9285" width="14.5" style="127" customWidth="1"/>
    <col min="9286" max="9357" width="11.5" style="127"/>
    <col min="9358" max="9358" width="50.1640625" style="127" customWidth="1"/>
    <col min="9359" max="9359" width="15.83203125" style="127" bestFit="1" customWidth="1"/>
    <col min="9360" max="9360" width="17" style="127" bestFit="1" customWidth="1"/>
    <col min="9361" max="9377" width="13.5" style="127" bestFit="1" customWidth="1"/>
    <col min="9378" max="9381" width="13.83203125" style="127" bestFit="1" customWidth="1"/>
    <col min="9382" max="9396" width="14.5" style="127" bestFit="1" customWidth="1"/>
    <col min="9397" max="9414" width="13.83203125" style="127" bestFit="1" customWidth="1"/>
    <col min="9415" max="9422" width="14.5" style="127" bestFit="1" customWidth="1"/>
    <col min="9423" max="9425" width="13.83203125" style="127" bestFit="1" customWidth="1"/>
    <col min="9426" max="9439" width="15" style="127" bestFit="1" customWidth="1"/>
    <col min="9440" max="9540" width="14.5" style="127" bestFit="1" customWidth="1"/>
    <col min="9541" max="9541" width="14.5" style="127" customWidth="1"/>
    <col min="9542" max="9613" width="11.5" style="127"/>
    <col min="9614" max="9614" width="50.1640625" style="127" customWidth="1"/>
    <col min="9615" max="9615" width="15.83203125" style="127" bestFit="1" customWidth="1"/>
    <col min="9616" max="9616" width="17" style="127" bestFit="1" customWidth="1"/>
    <col min="9617" max="9633" width="13.5" style="127" bestFit="1" customWidth="1"/>
    <col min="9634" max="9637" width="13.83203125" style="127" bestFit="1" customWidth="1"/>
    <col min="9638" max="9652" width="14.5" style="127" bestFit="1" customWidth="1"/>
    <col min="9653" max="9670" width="13.83203125" style="127" bestFit="1" customWidth="1"/>
    <col min="9671" max="9678" width="14.5" style="127" bestFit="1" customWidth="1"/>
    <col min="9679" max="9681" width="13.83203125" style="127" bestFit="1" customWidth="1"/>
    <col min="9682" max="9695" width="15" style="127" bestFit="1" customWidth="1"/>
    <col min="9696" max="9796" width="14.5" style="127" bestFit="1" customWidth="1"/>
    <col min="9797" max="9797" width="14.5" style="127" customWidth="1"/>
    <col min="9798" max="9869" width="11.5" style="127"/>
    <col min="9870" max="9870" width="50.1640625" style="127" customWidth="1"/>
    <col min="9871" max="9871" width="15.83203125" style="127" bestFit="1" customWidth="1"/>
    <col min="9872" max="9872" width="17" style="127" bestFit="1" customWidth="1"/>
    <col min="9873" max="9889" width="13.5" style="127" bestFit="1" customWidth="1"/>
    <col min="9890" max="9893" width="13.83203125" style="127" bestFit="1" customWidth="1"/>
    <col min="9894" max="9908" width="14.5" style="127" bestFit="1" customWidth="1"/>
    <col min="9909" max="9926" width="13.83203125" style="127" bestFit="1" customWidth="1"/>
    <col min="9927" max="9934" width="14.5" style="127" bestFit="1" customWidth="1"/>
    <col min="9935" max="9937" width="13.83203125" style="127" bestFit="1" customWidth="1"/>
    <col min="9938" max="9951" width="15" style="127" bestFit="1" customWidth="1"/>
    <col min="9952" max="10052" width="14.5" style="127" bestFit="1" customWidth="1"/>
    <col min="10053" max="10053" width="14.5" style="127" customWidth="1"/>
    <col min="10054" max="10125" width="11.5" style="127"/>
    <col min="10126" max="10126" width="50.1640625" style="127" customWidth="1"/>
    <col min="10127" max="10127" width="15.83203125" style="127" bestFit="1" customWidth="1"/>
    <col min="10128" max="10128" width="17" style="127" bestFit="1" customWidth="1"/>
    <col min="10129" max="10145" width="13.5" style="127" bestFit="1" customWidth="1"/>
    <col min="10146" max="10149" width="13.83203125" style="127" bestFit="1" customWidth="1"/>
    <col min="10150" max="10164" width="14.5" style="127" bestFit="1" customWidth="1"/>
    <col min="10165" max="10182" width="13.83203125" style="127" bestFit="1" customWidth="1"/>
    <col min="10183" max="10190" width="14.5" style="127" bestFit="1" customWidth="1"/>
    <col min="10191" max="10193" width="13.83203125" style="127" bestFit="1" customWidth="1"/>
    <col min="10194" max="10207" width="15" style="127" bestFit="1" customWidth="1"/>
    <col min="10208" max="10308" width="14.5" style="127" bestFit="1" customWidth="1"/>
    <col min="10309" max="10309" width="14.5" style="127" customWidth="1"/>
    <col min="10310" max="10381" width="11.5" style="127"/>
    <col min="10382" max="10382" width="50.1640625" style="127" customWidth="1"/>
    <col min="10383" max="10383" width="15.83203125" style="127" bestFit="1" customWidth="1"/>
    <col min="10384" max="10384" width="17" style="127" bestFit="1" customWidth="1"/>
    <col min="10385" max="10401" width="13.5" style="127" bestFit="1" customWidth="1"/>
    <col min="10402" max="10405" width="13.83203125" style="127" bestFit="1" customWidth="1"/>
    <col min="10406" max="10420" width="14.5" style="127" bestFit="1" customWidth="1"/>
    <col min="10421" max="10438" width="13.83203125" style="127" bestFit="1" customWidth="1"/>
    <col min="10439" max="10446" width="14.5" style="127" bestFit="1" customWidth="1"/>
    <col min="10447" max="10449" width="13.83203125" style="127" bestFit="1" customWidth="1"/>
    <col min="10450" max="10463" width="15" style="127" bestFit="1" customWidth="1"/>
    <col min="10464" max="10564" width="14.5" style="127" bestFit="1" customWidth="1"/>
    <col min="10565" max="10565" width="14.5" style="127" customWidth="1"/>
    <col min="10566" max="10637" width="11.5" style="127"/>
    <col min="10638" max="10638" width="50.1640625" style="127" customWidth="1"/>
    <col min="10639" max="10639" width="15.83203125" style="127" bestFit="1" customWidth="1"/>
    <col min="10640" max="10640" width="17" style="127" bestFit="1" customWidth="1"/>
    <col min="10641" max="10657" width="13.5" style="127" bestFit="1" customWidth="1"/>
    <col min="10658" max="10661" width="13.83203125" style="127" bestFit="1" customWidth="1"/>
    <col min="10662" max="10676" width="14.5" style="127" bestFit="1" customWidth="1"/>
    <col min="10677" max="10694" width="13.83203125" style="127" bestFit="1" customWidth="1"/>
    <col min="10695" max="10702" width="14.5" style="127" bestFit="1" customWidth="1"/>
    <col min="10703" max="10705" width="13.83203125" style="127" bestFit="1" customWidth="1"/>
    <col min="10706" max="10719" width="15" style="127" bestFit="1" customWidth="1"/>
    <col min="10720" max="10820" width="14.5" style="127" bestFit="1" customWidth="1"/>
    <col min="10821" max="10821" width="14.5" style="127" customWidth="1"/>
    <col min="10822" max="10893" width="11.5" style="127"/>
    <col min="10894" max="10894" width="50.1640625" style="127" customWidth="1"/>
    <col min="10895" max="10895" width="15.83203125" style="127" bestFit="1" customWidth="1"/>
    <col min="10896" max="10896" width="17" style="127" bestFit="1" customWidth="1"/>
    <col min="10897" max="10913" width="13.5" style="127" bestFit="1" customWidth="1"/>
    <col min="10914" max="10917" width="13.83203125" style="127" bestFit="1" customWidth="1"/>
    <col min="10918" max="10932" width="14.5" style="127" bestFit="1" customWidth="1"/>
    <col min="10933" max="10950" width="13.83203125" style="127" bestFit="1" customWidth="1"/>
    <col min="10951" max="10958" width="14.5" style="127" bestFit="1" customWidth="1"/>
    <col min="10959" max="10961" width="13.83203125" style="127" bestFit="1" customWidth="1"/>
    <col min="10962" max="10975" width="15" style="127" bestFit="1" customWidth="1"/>
    <col min="10976" max="11076" width="14.5" style="127" bestFit="1" customWidth="1"/>
    <col min="11077" max="11077" width="14.5" style="127" customWidth="1"/>
    <col min="11078" max="11149" width="11.5" style="127"/>
    <col min="11150" max="11150" width="50.1640625" style="127" customWidth="1"/>
    <col min="11151" max="11151" width="15.83203125" style="127" bestFit="1" customWidth="1"/>
    <col min="11152" max="11152" width="17" style="127" bestFit="1" customWidth="1"/>
    <col min="11153" max="11169" width="13.5" style="127" bestFit="1" customWidth="1"/>
    <col min="11170" max="11173" width="13.83203125" style="127" bestFit="1" customWidth="1"/>
    <col min="11174" max="11188" width="14.5" style="127" bestFit="1" customWidth="1"/>
    <col min="11189" max="11206" width="13.83203125" style="127" bestFit="1" customWidth="1"/>
    <col min="11207" max="11214" width="14.5" style="127" bestFit="1" customWidth="1"/>
    <col min="11215" max="11217" width="13.83203125" style="127" bestFit="1" customWidth="1"/>
    <col min="11218" max="11231" width="15" style="127" bestFit="1" customWidth="1"/>
    <col min="11232" max="11332" width="14.5" style="127" bestFit="1" customWidth="1"/>
    <col min="11333" max="11333" width="14.5" style="127" customWidth="1"/>
    <col min="11334" max="11405" width="11.5" style="127"/>
    <col min="11406" max="11406" width="50.1640625" style="127" customWidth="1"/>
    <col min="11407" max="11407" width="15.83203125" style="127" bestFit="1" customWidth="1"/>
    <col min="11408" max="11408" width="17" style="127" bestFit="1" customWidth="1"/>
    <col min="11409" max="11425" width="13.5" style="127" bestFit="1" customWidth="1"/>
    <col min="11426" max="11429" width="13.83203125" style="127" bestFit="1" customWidth="1"/>
    <col min="11430" max="11444" width="14.5" style="127" bestFit="1" customWidth="1"/>
    <col min="11445" max="11462" width="13.83203125" style="127" bestFit="1" customWidth="1"/>
    <col min="11463" max="11470" width="14.5" style="127" bestFit="1" customWidth="1"/>
    <col min="11471" max="11473" width="13.83203125" style="127" bestFit="1" customWidth="1"/>
    <col min="11474" max="11487" width="15" style="127" bestFit="1" customWidth="1"/>
    <col min="11488" max="11588" width="14.5" style="127" bestFit="1" customWidth="1"/>
    <col min="11589" max="11589" width="14.5" style="127" customWidth="1"/>
    <col min="11590" max="11661" width="11.5" style="127"/>
    <col min="11662" max="11662" width="50.1640625" style="127" customWidth="1"/>
    <col min="11663" max="11663" width="15.83203125" style="127" bestFit="1" customWidth="1"/>
    <col min="11664" max="11664" width="17" style="127" bestFit="1" customWidth="1"/>
    <col min="11665" max="11681" width="13.5" style="127" bestFit="1" customWidth="1"/>
    <col min="11682" max="11685" width="13.83203125" style="127" bestFit="1" customWidth="1"/>
    <col min="11686" max="11700" width="14.5" style="127" bestFit="1" customWidth="1"/>
    <col min="11701" max="11718" width="13.83203125" style="127" bestFit="1" customWidth="1"/>
    <col min="11719" max="11726" width="14.5" style="127" bestFit="1" customWidth="1"/>
    <col min="11727" max="11729" width="13.83203125" style="127" bestFit="1" customWidth="1"/>
    <col min="11730" max="11743" width="15" style="127" bestFit="1" customWidth="1"/>
    <col min="11744" max="11844" width="14.5" style="127" bestFit="1" customWidth="1"/>
    <col min="11845" max="11845" width="14.5" style="127" customWidth="1"/>
    <col min="11846" max="11917" width="11.5" style="127"/>
    <col min="11918" max="11918" width="50.1640625" style="127" customWidth="1"/>
    <col min="11919" max="11919" width="15.83203125" style="127" bestFit="1" customWidth="1"/>
    <col min="11920" max="11920" width="17" style="127" bestFit="1" customWidth="1"/>
    <col min="11921" max="11937" width="13.5" style="127" bestFit="1" customWidth="1"/>
    <col min="11938" max="11941" width="13.83203125" style="127" bestFit="1" customWidth="1"/>
    <col min="11942" max="11956" width="14.5" style="127" bestFit="1" customWidth="1"/>
    <col min="11957" max="11974" width="13.83203125" style="127" bestFit="1" customWidth="1"/>
    <col min="11975" max="11982" width="14.5" style="127" bestFit="1" customWidth="1"/>
    <col min="11983" max="11985" width="13.83203125" style="127" bestFit="1" customWidth="1"/>
    <col min="11986" max="11999" width="15" style="127" bestFit="1" customWidth="1"/>
    <col min="12000" max="12100" width="14.5" style="127" bestFit="1" customWidth="1"/>
    <col min="12101" max="12101" width="14.5" style="127" customWidth="1"/>
    <col min="12102" max="12173" width="11.5" style="127"/>
    <col min="12174" max="12174" width="50.1640625" style="127" customWidth="1"/>
    <col min="12175" max="12175" width="15.83203125" style="127" bestFit="1" customWidth="1"/>
    <col min="12176" max="12176" width="17" style="127" bestFit="1" customWidth="1"/>
    <col min="12177" max="12193" width="13.5" style="127" bestFit="1" customWidth="1"/>
    <col min="12194" max="12197" width="13.83203125" style="127" bestFit="1" customWidth="1"/>
    <col min="12198" max="12212" width="14.5" style="127" bestFit="1" customWidth="1"/>
    <col min="12213" max="12230" width="13.83203125" style="127" bestFit="1" customWidth="1"/>
    <col min="12231" max="12238" width="14.5" style="127" bestFit="1" customWidth="1"/>
    <col min="12239" max="12241" width="13.83203125" style="127" bestFit="1" customWidth="1"/>
    <col min="12242" max="12255" width="15" style="127" bestFit="1" customWidth="1"/>
    <col min="12256" max="12356" width="14.5" style="127" bestFit="1" customWidth="1"/>
    <col min="12357" max="12357" width="14.5" style="127" customWidth="1"/>
    <col min="12358" max="12429" width="11.5" style="127"/>
    <col min="12430" max="12430" width="50.1640625" style="127" customWidth="1"/>
    <col min="12431" max="12431" width="15.83203125" style="127" bestFit="1" customWidth="1"/>
    <col min="12432" max="12432" width="17" style="127" bestFit="1" customWidth="1"/>
    <col min="12433" max="12449" width="13.5" style="127" bestFit="1" customWidth="1"/>
    <col min="12450" max="12453" width="13.83203125" style="127" bestFit="1" customWidth="1"/>
    <col min="12454" max="12468" width="14.5" style="127" bestFit="1" customWidth="1"/>
    <col min="12469" max="12486" width="13.83203125" style="127" bestFit="1" customWidth="1"/>
    <col min="12487" max="12494" width="14.5" style="127" bestFit="1" customWidth="1"/>
    <col min="12495" max="12497" width="13.83203125" style="127" bestFit="1" customWidth="1"/>
    <col min="12498" max="12511" width="15" style="127" bestFit="1" customWidth="1"/>
    <col min="12512" max="12612" width="14.5" style="127" bestFit="1" customWidth="1"/>
    <col min="12613" max="12613" width="14.5" style="127" customWidth="1"/>
    <col min="12614" max="12685" width="11.5" style="127"/>
    <col min="12686" max="12686" width="50.1640625" style="127" customWidth="1"/>
    <col min="12687" max="12687" width="15.83203125" style="127" bestFit="1" customWidth="1"/>
    <col min="12688" max="12688" width="17" style="127" bestFit="1" customWidth="1"/>
    <col min="12689" max="12705" width="13.5" style="127" bestFit="1" customWidth="1"/>
    <col min="12706" max="12709" width="13.83203125" style="127" bestFit="1" customWidth="1"/>
    <col min="12710" max="12724" width="14.5" style="127" bestFit="1" customWidth="1"/>
    <col min="12725" max="12742" width="13.83203125" style="127" bestFit="1" customWidth="1"/>
    <col min="12743" max="12750" width="14.5" style="127" bestFit="1" customWidth="1"/>
    <col min="12751" max="12753" width="13.83203125" style="127" bestFit="1" customWidth="1"/>
    <col min="12754" max="12767" width="15" style="127" bestFit="1" customWidth="1"/>
    <col min="12768" max="12868" width="14.5" style="127" bestFit="1" customWidth="1"/>
    <col min="12869" max="12869" width="14.5" style="127" customWidth="1"/>
    <col min="12870" max="12941" width="11.5" style="127"/>
    <col min="12942" max="12942" width="50.1640625" style="127" customWidth="1"/>
    <col min="12943" max="12943" width="15.83203125" style="127" bestFit="1" customWidth="1"/>
    <col min="12944" max="12944" width="17" style="127" bestFit="1" customWidth="1"/>
    <col min="12945" max="12961" width="13.5" style="127" bestFit="1" customWidth="1"/>
    <col min="12962" max="12965" width="13.83203125" style="127" bestFit="1" customWidth="1"/>
    <col min="12966" max="12980" width="14.5" style="127" bestFit="1" customWidth="1"/>
    <col min="12981" max="12998" width="13.83203125" style="127" bestFit="1" customWidth="1"/>
    <col min="12999" max="13006" width="14.5" style="127" bestFit="1" customWidth="1"/>
    <col min="13007" max="13009" width="13.83203125" style="127" bestFit="1" customWidth="1"/>
    <col min="13010" max="13023" width="15" style="127" bestFit="1" customWidth="1"/>
    <col min="13024" max="13124" width="14.5" style="127" bestFit="1" customWidth="1"/>
    <col min="13125" max="13125" width="14.5" style="127" customWidth="1"/>
    <col min="13126" max="13197" width="11.5" style="127"/>
    <col min="13198" max="13198" width="50.1640625" style="127" customWidth="1"/>
    <col min="13199" max="13199" width="15.83203125" style="127" bestFit="1" customWidth="1"/>
    <col min="13200" max="13200" width="17" style="127" bestFit="1" customWidth="1"/>
    <col min="13201" max="13217" width="13.5" style="127" bestFit="1" customWidth="1"/>
    <col min="13218" max="13221" width="13.83203125" style="127" bestFit="1" customWidth="1"/>
    <col min="13222" max="13236" width="14.5" style="127" bestFit="1" customWidth="1"/>
    <col min="13237" max="13254" width="13.83203125" style="127" bestFit="1" customWidth="1"/>
    <col min="13255" max="13262" width="14.5" style="127" bestFit="1" customWidth="1"/>
    <col min="13263" max="13265" width="13.83203125" style="127" bestFit="1" customWidth="1"/>
    <col min="13266" max="13279" width="15" style="127" bestFit="1" customWidth="1"/>
    <col min="13280" max="13380" width="14.5" style="127" bestFit="1" customWidth="1"/>
    <col min="13381" max="13381" width="14.5" style="127" customWidth="1"/>
    <col min="13382" max="13453" width="11.5" style="127"/>
    <col min="13454" max="13454" width="50.1640625" style="127" customWidth="1"/>
    <col min="13455" max="13455" width="15.83203125" style="127" bestFit="1" customWidth="1"/>
    <col min="13456" max="13456" width="17" style="127" bestFit="1" customWidth="1"/>
    <col min="13457" max="13473" width="13.5" style="127" bestFit="1" customWidth="1"/>
    <col min="13474" max="13477" width="13.83203125" style="127" bestFit="1" customWidth="1"/>
    <col min="13478" max="13492" width="14.5" style="127" bestFit="1" customWidth="1"/>
    <col min="13493" max="13510" width="13.83203125" style="127" bestFit="1" customWidth="1"/>
    <col min="13511" max="13518" width="14.5" style="127" bestFit="1" customWidth="1"/>
    <col min="13519" max="13521" width="13.83203125" style="127" bestFit="1" customWidth="1"/>
    <col min="13522" max="13535" width="15" style="127" bestFit="1" customWidth="1"/>
    <col min="13536" max="13636" width="14.5" style="127" bestFit="1" customWidth="1"/>
    <col min="13637" max="13637" width="14.5" style="127" customWidth="1"/>
    <col min="13638" max="13709" width="11.5" style="127"/>
    <col min="13710" max="13710" width="50.1640625" style="127" customWidth="1"/>
    <col min="13711" max="13711" width="15.83203125" style="127" bestFit="1" customWidth="1"/>
    <col min="13712" max="13712" width="17" style="127" bestFit="1" customWidth="1"/>
    <col min="13713" max="13729" width="13.5" style="127" bestFit="1" customWidth="1"/>
    <col min="13730" max="13733" width="13.83203125" style="127" bestFit="1" customWidth="1"/>
    <col min="13734" max="13748" width="14.5" style="127" bestFit="1" customWidth="1"/>
    <col min="13749" max="13766" width="13.83203125" style="127" bestFit="1" customWidth="1"/>
    <col min="13767" max="13774" width="14.5" style="127" bestFit="1" customWidth="1"/>
    <col min="13775" max="13777" width="13.83203125" style="127" bestFit="1" customWidth="1"/>
    <col min="13778" max="13791" width="15" style="127" bestFit="1" customWidth="1"/>
    <col min="13792" max="13892" width="14.5" style="127" bestFit="1" customWidth="1"/>
    <col min="13893" max="13893" width="14.5" style="127" customWidth="1"/>
    <col min="13894" max="13965" width="11.5" style="127"/>
    <col min="13966" max="13966" width="50.1640625" style="127" customWidth="1"/>
    <col min="13967" max="13967" width="15.83203125" style="127" bestFit="1" customWidth="1"/>
    <col min="13968" max="13968" width="17" style="127" bestFit="1" customWidth="1"/>
    <col min="13969" max="13985" width="13.5" style="127" bestFit="1" customWidth="1"/>
    <col min="13986" max="13989" width="13.83203125" style="127" bestFit="1" customWidth="1"/>
    <col min="13990" max="14004" width="14.5" style="127" bestFit="1" customWidth="1"/>
    <col min="14005" max="14022" width="13.83203125" style="127" bestFit="1" customWidth="1"/>
    <col min="14023" max="14030" width="14.5" style="127" bestFit="1" customWidth="1"/>
    <col min="14031" max="14033" width="13.83203125" style="127" bestFit="1" customWidth="1"/>
    <col min="14034" max="14047" width="15" style="127" bestFit="1" customWidth="1"/>
    <col min="14048" max="14148" width="14.5" style="127" bestFit="1" customWidth="1"/>
    <col min="14149" max="14149" width="14.5" style="127" customWidth="1"/>
    <col min="14150" max="14221" width="11.5" style="127"/>
    <col min="14222" max="14222" width="50.1640625" style="127" customWidth="1"/>
    <col min="14223" max="14223" width="15.83203125" style="127" bestFit="1" customWidth="1"/>
    <col min="14224" max="14224" width="17" style="127" bestFit="1" customWidth="1"/>
    <col min="14225" max="14241" width="13.5" style="127" bestFit="1" customWidth="1"/>
    <col min="14242" max="14245" width="13.83203125" style="127" bestFit="1" customWidth="1"/>
    <col min="14246" max="14260" width="14.5" style="127" bestFit="1" customWidth="1"/>
    <col min="14261" max="14278" width="13.83203125" style="127" bestFit="1" customWidth="1"/>
    <col min="14279" max="14286" width="14.5" style="127" bestFit="1" customWidth="1"/>
    <col min="14287" max="14289" width="13.83203125" style="127" bestFit="1" customWidth="1"/>
    <col min="14290" max="14303" width="15" style="127" bestFit="1" customWidth="1"/>
    <col min="14304" max="14404" width="14.5" style="127" bestFit="1" customWidth="1"/>
    <col min="14405" max="14405" width="14.5" style="127" customWidth="1"/>
    <col min="14406" max="14477" width="11.5" style="127"/>
    <col min="14478" max="14478" width="50.1640625" style="127" customWidth="1"/>
    <col min="14479" max="14479" width="15.83203125" style="127" bestFit="1" customWidth="1"/>
    <col min="14480" max="14480" width="17" style="127" bestFit="1" customWidth="1"/>
    <col min="14481" max="14497" width="13.5" style="127" bestFit="1" customWidth="1"/>
    <col min="14498" max="14501" width="13.83203125" style="127" bestFit="1" customWidth="1"/>
    <col min="14502" max="14516" width="14.5" style="127" bestFit="1" customWidth="1"/>
    <col min="14517" max="14534" width="13.83203125" style="127" bestFit="1" customWidth="1"/>
    <col min="14535" max="14542" width="14.5" style="127" bestFit="1" customWidth="1"/>
    <col min="14543" max="14545" width="13.83203125" style="127" bestFit="1" customWidth="1"/>
    <col min="14546" max="14559" width="15" style="127" bestFit="1" customWidth="1"/>
    <col min="14560" max="14660" width="14.5" style="127" bestFit="1" customWidth="1"/>
    <col min="14661" max="14661" width="14.5" style="127" customWidth="1"/>
    <col min="14662" max="14733" width="11.5" style="127"/>
    <col min="14734" max="14734" width="50.1640625" style="127" customWidth="1"/>
    <col min="14735" max="14735" width="15.83203125" style="127" bestFit="1" customWidth="1"/>
    <col min="14736" max="14736" width="17" style="127" bestFit="1" customWidth="1"/>
    <col min="14737" max="14753" width="13.5" style="127" bestFit="1" customWidth="1"/>
    <col min="14754" max="14757" width="13.83203125" style="127" bestFit="1" customWidth="1"/>
    <col min="14758" max="14772" width="14.5" style="127" bestFit="1" customWidth="1"/>
    <col min="14773" max="14790" width="13.83203125" style="127" bestFit="1" customWidth="1"/>
    <col min="14791" max="14798" width="14.5" style="127" bestFit="1" customWidth="1"/>
    <col min="14799" max="14801" width="13.83203125" style="127" bestFit="1" customWidth="1"/>
    <col min="14802" max="14815" width="15" style="127" bestFit="1" customWidth="1"/>
    <col min="14816" max="14916" width="14.5" style="127" bestFit="1" customWidth="1"/>
    <col min="14917" max="14917" width="14.5" style="127" customWidth="1"/>
    <col min="14918" max="14989" width="11.5" style="127"/>
    <col min="14990" max="14990" width="50.1640625" style="127" customWidth="1"/>
    <col min="14991" max="14991" width="15.83203125" style="127" bestFit="1" customWidth="1"/>
    <col min="14992" max="14992" width="17" style="127" bestFit="1" customWidth="1"/>
    <col min="14993" max="15009" width="13.5" style="127" bestFit="1" customWidth="1"/>
    <col min="15010" max="15013" width="13.83203125" style="127" bestFit="1" customWidth="1"/>
    <col min="15014" max="15028" width="14.5" style="127" bestFit="1" customWidth="1"/>
    <col min="15029" max="15046" width="13.83203125" style="127" bestFit="1" customWidth="1"/>
    <col min="15047" max="15054" width="14.5" style="127" bestFit="1" customWidth="1"/>
    <col min="15055" max="15057" width="13.83203125" style="127" bestFit="1" customWidth="1"/>
    <col min="15058" max="15071" width="15" style="127" bestFit="1" customWidth="1"/>
    <col min="15072" max="15172" width="14.5" style="127" bestFit="1" customWidth="1"/>
    <col min="15173" max="15173" width="14.5" style="127" customWidth="1"/>
    <col min="15174" max="15245" width="11.5" style="127"/>
    <col min="15246" max="15246" width="50.1640625" style="127" customWidth="1"/>
    <col min="15247" max="15247" width="15.83203125" style="127" bestFit="1" customWidth="1"/>
    <col min="15248" max="15248" width="17" style="127" bestFit="1" customWidth="1"/>
    <col min="15249" max="15265" width="13.5" style="127" bestFit="1" customWidth="1"/>
    <col min="15266" max="15269" width="13.83203125" style="127" bestFit="1" customWidth="1"/>
    <col min="15270" max="15284" width="14.5" style="127" bestFit="1" customWidth="1"/>
    <col min="15285" max="15302" width="13.83203125" style="127" bestFit="1" customWidth="1"/>
    <col min="15303" max="15310" width="14.5" style="127" bestFit="1" customWidth="1"/>
    <col min="15311" max="15313" width="13.83203125" style="127" bestFit="1" customWidth="1"/>
    <col min="15314" max="15327" width="15" style="127" bestFit="1" customWidth="1"/>
    <col min="15328" max="15428" width="14.5" style="127" bestFit="1" customWidth="1"/>
    <col min="15429" max="15429" width="14.5" style="127" customWidth="1"/>
    <col min="15430" max="15501" width="11.5" style="127"/>
    <col min="15502" max="15502" width="50.1640625" style="127" customWidth="1"/>
    <col min="15503" max="15503" width="15.83203125" style="127" bestFit="1" customWidth="1"/>
    <col min="15504" max="15504" width="17" style="127" bestFit="1" customWidth="1"/>
    <col min="15505" max="15521" width="13.5" style="127" bestFit="1" customWidth="1"/>
    <col min="15522" max="15525" width="13.83203125" style="127" bestFit="1" customWidth="1"/>
    <col min="15526" max="15540" width="14.5" style="127" bestFit="1" customWidth="1"/>
    <col min="15541" max="15558" width="13.83203125" style="127" bestFit="1" customWidth="1"/>
    <col min="15559" max="15566" width="14.5" style="127" bestFit="1" customWidth="1"/>
    <col min="15567" max="15569" width="13.83203125" style="127" bestFit="1" customWidth="1"/>
    <col min="15570" max="15583" width="15" style="127" bestFit="1" customWidth="1"/>
    <col min="15584" max="15684" width="14.5" style="127" bestFit="1" customWidth="1"/>
    <col min="15685" max="15685" width="14.5" style="127" customWidth="1"/>
    <col min="15686" max="15757" width="11.5" style="127"/>
    <col min="15758" max="15758" width="50.1640625" style="127" customWidth="1"/>
    <col min="15759" max="15759" width="15.83203125" style="127" bestFit="1" customWidth="1"/>
    <col min="15760" max="15760" width="17" style="127" bestFit="1" customWidth="1"/>
    <col min="15761" max="15777" width="13.5" style="127" bestFit="1" customWidth="1"/>
    <col min="15778" max="15781" width="13.83203125" style="127" bestFit="1" customWidth="1"/>
    <col min="15782" max="15796" width="14.5" style="127" bestFit="1" customWidth="1"/>
    <col min="15797" max="15814" width="13.83203125" style="127" bestFit="1" customWidth="1"/>
    <col min="15815" max="15822" width="14.5" style="127" bestFit="1" customWidth="1"/>
    <col min="15823" max="15825" width="13.83203125" style="127" bestFit="1" customWidth="1"/>
    <col min="15826" max="15839" width="15" style="127" bestFit="1" customWidth="1"/>
    <col min="15840" max="15940" width="14.5" style="127" bestFit="1" customWidth="1"/>
    <col min="15941" max="15941" width="14.5" style="127" customWidth="1"/>
    <col min="15942" max="16013" width="11.5" style="127"/>
    <col min="16014" max="16014" width="50.1640625" style="127" customWidth="1"/>
    <col min="16015" max="16015" width="15.83203125" style="127" bestFit="1" customWidth="1"/>
    <col min="16016" max="16016" width="17" style="127" bestFit="1" customWidth="1"/>
    <col min="16017" max="16033" width="13.5" style="127" bestFit="1" customWidth="1"/>
    <col min="16034" max="16037" width="13.83203125" style="127" bestFit="1" customWidth="1"/>
    <col min="16038" max="16052" width="14.5" style="127" bestFit="1" customWidth="1"/>
    <col min="16053" max="16070" width="13.83203125" style="127" bestFit="1" customWidth="1"/>
    <col min="16071" max="16078" width="14.5" style="127" bestFit="1" customWidth="1"/>
    <col min="16079" max="16081" width="13.83203125" style="127" bestFit="1" customWidth="1"/>
    <col min="16082" max="16095" width="15" style="127" bestFit="1" customWidth="1"/>
    <col min="16096" max="16196" width="14.5" style="127" bestFit="1" customWidth="1"/>
    <col min="16197" max="16197" width="14.5" style="127" customWidth="1"/>
    <col min="16198" max="16384" width="11.5" style="127"/>
  </cols>
  <sheetData>
    <row r="1" spans="1:86" s="126" customFormat="1" ht="19">
      <c r="A1" s="59" t="str">
        <f>+'Resid - Datos'!A1</f>
        <v>SMART.IN - San Martín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</row>
    <row r="2" spans="1:86" s="112" customFormat="1" ht="14">
      <c r="A2" s="62"/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63"/>
      <c r="AZ2" s="63"/>
      <c r="BA2" s="63"/>
      <c r="BB2" s="63"/>
      <c r="BC2" s="63"/>
      <c r="BD2" s="63"/>
      <c r="BE2" s="63"/>
      <c r="BF2" s="63"/>
      <c r="BG2" s="63"/>
      <c r="BH2" s="63"/>
      <c r="BI2" s="63"/>
      <c r="BJ2" s="63"/>
      <c r="BK2" s="63"/>
      <c r="BL2" s="63"/>
      <c r="BM2" s="63"/>
      <c r="BN2" s="63"/>
      <c r="BO2" s="63"/>
      <c r="BP2" s="63"/>
      <c r="BQ2" s="63"/>
    </row>
    <row r="3" spans="1:86" s="112" customFormat="1" ht="14">
      <c r="A3" s="64" t="s">
        <v>83</v>
      </c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  <c r="AD3" s="65"/>
      <c r="AE3" s="65"/>
      <c r="AF3" s="65"/>
      <c r="AG3" s="65"/>
      <c r="AH3" s="65"/>
      <c r="AI3" s="65"/>
      <c r="AJ3" s="65"/>
      <c r="AK3" s="65"/>
      <c r="AL3" s="65"/>
      <c r="AM3" s="65"/>
      <c r="AN3" s="65"/>
      <c r="AO3" s="65"/>
      <c r="AP3" s="65"/>
      <c r="AQ3" s="65"/>
      <c r="AR3" s="65"/>
      <c r="AS3" s="65"/>
      <c r="AT3" s="65"/>
      <c r="AU3" s="65"/>
      <c r="AV3" s="65"/>
      <c r="AW3" s="65"/>
      <c r="AX3" s="65"/>
      <c r="AY3" s="65"/>
      <c r="AZ3" s="65"/>
      <c r="BA3" s="65"/>
      <c r="BB3" s="65"/>
      <c r="BC3" s="65"/>
      <c r="BD3" s="65"/>
      <c r="BE3" s="65"/>
      <c r="BF3" s="65"/>
      <c r="BG3" s="65"/>
      <c r="BH3" s="65"/>
      <c r="BI3" s="65"/>
      <c r="BJ3" s="65"/>
      <c r="BK3" s="65"/>
      <c r="BL3" s="63"/>
      <c r="BM3" s="63"/>
      <c r="BN3" s="63"/>
      <c r="BO3" s="63"/>
      <c r="BP3" s="63"/>
      <c r="BQ3" s="63"/>
    </row>
    <row r="4" spans="1:86" s="70" customFormat="1" ht="14">
      <c r="A4" s="703" t="s">
        <v>366</v>
      </c>
      <c r="B4" s="594" t="s">
        <v>15</v>
      </c>
      <c r="C4" s="594"/>
      <c r="D4" s="596" t="s">
        <v>32</v>
      </c>
      <c r="E4" s="596"/>
      <c r="F4" s="596"/>
      <c r="G4" s="596"/>
      <c r="H4" s="596"/>
      <c r="I4" s="596"/>
      <c r="J4" s="596"/>
      <c r="K4" s="596"/>
      <c r="L4" s="596"/>
      <c r="M4" s="596"/>
      <c r="N4" s="596"/>
      <c r="O4" s="596"/>
      <c r="P4" s="596"/>
      <c r="Q4" s="596"/>
      <c r="R4" s="596"/>
      <c r="S4" s="596"/>
      <c r="T4" s="596"/>
      <c r="U4" s="596"/>
      <c r="V4" s="596"/>
      <c r="W4" s="596"/>
      <c r="X4" s="596"/>
      <c r="Y4" s="596"/>
      <c r="Z4" s="596"/>
      <c r="AA4" s="596"/>
      <c r="AB4" s="596"/>
      <c r="AC4" s="596"/>
      <c r="AD4" s="596"/>
      <c r="AE4" s="596"/>
      <c r="AF4" s="596"/>
      <c r="AG4" s="596"/>
      <c r="AH4" s="596"/>
      <c r="AI4" s="596"/>
      <c r="AJ4" s="596"/>
      <c r="AK4" s="596"/>
      <c r="AL4" s="596"/>
      <c r="AM4" s="596"/>
      <c r="AN4" s="596"/>
      <c r="AO4" s="596"/>
      <c r="AP4" s="596"/>
      <c r="AQ4" s="596"/>
      <c r="AR4" s="596"/>
      <c r="AS4" s="596"/>
      <c r="AT4" s="596"/>
      <c r="AU4" s="596"/>
      <c r="AV4" s="596"/>
      <c r="AW4" s="596"/>
      <c r="AX4" s="596"/>
      <c r="AY4" s="596"/>
      <c r="AZ4" s="596"/>
      <c r="BA4" s="596"/>
      <c r="BB4" s="596"/>
      <c r="BC4" s="596"/>
      <c r="BD4" s="596"/>
      <c r="BE4" s="596"/>
      <c r="BF4" s="596"/>
      <c r="BG4" s="596"/>
      <c r="BH4" s="596"/>
      <c r="BI4" s="596"/>
      <c r="BJ4" s="596"/>
      <c r="BK4" s="596"/>
      <c r="BL4" s="596"/>
      <c r="BM4" s="596"/>
      <c r="BN4" s="596"/>
      <c r="BO4" s="596"/>
      <c r="BP4" s="596"/>
      <c r="BQ4" s="596"/>
    </row>
    <row r="5" spans="1:86" s="74" customFormat="1" ht="14">
      <c r="A5" s="704" t="s">
        <v>367</v>
      </c>
      <c r="B5" s="595"/>
      <c r="C5" s="595"/>
      <c r="D5" s="106">
        <v>-6</v>
      </c>
      <c r="E5" s="106">
        <v>-5</v>
      </c>
      <c r="F5" s="106">
        <v>-4</v>
      </c>
      <c r="G5" s="106">
        <v>-3</v>
      </c>
      <c r="H5" s="106">
        <v>-2</v>
      </c>
      <c r="I5" s="106">
        <v>-1</v>
      </c>
      <c r="J5" s="597">
        <v>1</v>
      </c>
      <c r="K5" s="597">
        <v>2</v>
      </c>
      <c r="L5" s="597">
        <v>3</v>
      </c>
      <c r="M5" s="597">
        <v>4</v>
      </c>
      <c r="N5" s="597">
        <v>5</v>
      </c>
      <c r="O5" s="597">
        <v>6</v>
      </c>
      <c r="P5" s="599">
        <v>7</v>
      </c>
      <c r="Q5" s="597">
        <v>8</v>
      </c>
      <c r="R5" s="597">
        <v>9</v>
      </c>
      <c r="S5" s="597">
        <v>10</v>
      </c>
      <c r="T5" s="597">
        <v>11</v>
      </c>
      <c r="U5" s="597">
        <v>12</v>
      </c>
      <c r="V5" s="597">
        <v>13</v>
      </c>
      <c r="W5" s="597">
        <v>14</v>
      </c>
      <c r="X5" s="597">
        <v>15</v>
      </c>
      <c r="Y5" s="597">
        <v>16</v>
      </c>
      <c r="Z5" s="597">
        <v>17</v>
      </c>
      <c r="AA5" s="597">
        <v>18</v>
      </c>
      <c r="AB5" s="597">
        <v>19</v>
      </c>
      <c r="AC5" s="597">
        <v>20</v>
      </c>
      <c r="AD5" s="597">
        <v>21</v>
      </c>
      <c r="AE5" s="597">
        <v>22</v>
      </c>
      <c r="AF5" s="597">
        <v>23</v>
      </c>
      <c r="AG5" s="597">
        <v>24</v>
      </c>
      <c r="AH5" s="597">
        <v>25</v>
      </c>
      <c r="AI5" s="597">
        <v>26</v>
      </c>
      <c r="AJ5" s="597">
        <v>27</v>
      </c>
      <c r="AK5" s="597">
        <v>28</v>
      </c>
      <c r="AL5" s="597">
        <v>29</v>
      </c>
      <c r="AM5" s="597">
        <v>30</v>
      </c>
      <c r="AN5" s="598">
        <v>31</v>
      </c>
      <c r="AO5" s="597">
        <v>32</v>
      </c>
      <c r="AP5" s="597">
        <v>33</v>
      </c>
      <c r="AQ5" s="597">
        <v>34</v>
      </c>
      <c r="AR5" s="597">
        <v>35</v>
      </c>
      <c r="AS5" s="597">
        <v>36</v>
      </c>
      <c r="AT5" s="598">
        <v>37</v>
      </c>
      <c r="AU5" s="597">
        <v>38</v>
      </c>
      <c r="AV5" s="597">
        <v>39</v>
      </c>
      <c r="AW5" s="597">
        <v>40</v>
      </c>
      <c r="AX5" s="597">
        <v>41</v>
      </c>
      <c r="AY5" s="597">
        <v>42</v>
      </c>
      <c r="AZ5" s="598">
        <v>43</v>
      </c>
      <c r="BA5" s="597">
        <v>44</v>
      </c>
      <c r="BB5" s="597">
        <v>45</v>
      </c>
      <c r="BC5" s="597">
        <v>46</v>
      </c>
      <c r="BD5" s="597">
        <v>47</v>
      </c>
      <c r="BE5" s="597">
        <v>48</v>
      </c>
      <c r="BF5" s="598">
        <v>49</v>
      </c>
      <c r="BG5" s="597">
        <v>50</v>
      </c>
      <c r="BH5" s="597">
        <v>51</v>
      </c>
      <c r="BI5" s="597">
        <v>52</v>
      </c>
      <c r="BJ5" s="597">
        <v>53</v>
      </c>
      <c r="BK5" s="597">
        <v>54</v>
      </c>
      <c r="BL5" s="597">
        <v>55</v>
      </c>
      <c r="BM5" s="597">
        <v>56</v>
      </c>
      <c r="BN5" s="597">
        <v>57</v>
      </c>
      <c r="BO5" s="597">
        <v>58</v>
      </c>
      <c r="BP5" s="597">
        <v>59</v>
      </c>
      <c r="BQ5" s="597">
        <v>60</v>
      </c>
    </row>
    <row r="6" spans="1:86" s="622" customFormat="1" ht="7" customHeight="1">
      <c r="A6" s="621"/>
      <c r="B6" s="621"/>
      <c r="C6" s="621"/>
      <c r="D6" s="621"/>
      <c r="E6" s="621"/>
      <c r="F6" s="621"/>
      <c r="G6" s="621"/>
      <c r="H6" s="621"/>
      <c r="I6" s="621"/>
      <c r="J6" s="621"/>
      <c r="K6" s="621"/>
      <c r="L6" s="621"/>
      <c r="M6" s="621"/>
      <c r="N6" s="621"/>
      <c r="O6" s="621"/>
      <c r="P6" s="621"/>
      <c r="Q6" s="621"/>
      <c r="R6" s="621"/>
      <c r="S6" s="621"/>
      <c r="T6" s="621"/>
      <c r="U6" s="621"/>
      <c r="V6" s="621"/>
      <c r="W6" s="621"/>
      <c r="X6" s="621"/>
      <c r="Y6" s="621"/>
      <c r="Z6" s="621"/>
      <c r="AA6" s="621"/>
      <c r="AB6" s="621"/>
      <c r="AC6" s="621"/>
      <c r="AD6" s="621"/>
      <c r="AE6" s="621"/>
      <c r="AF6" s="621"/>
      <c r="AG6" s="621"/>
      <c r="AH6" s="621"/>
      <c r="AI6" s="621"/>
      <c r="AJ6" s="621"/>
      <c r="AK6" s="621"/>
      <c r="AL6" s="621"/>
      <c r="AM6" s="621"/>
      <c r="AN6" s="621"/>
      <c r="AO6" s="621"/>
      <c r="AP6" s="621"/>
      <c r="AQ6" s="621"/>
      <c r="AR6" s="621"/>
      <c r="AS6" s="621"/>
      <c r="AT6" s="621"/>
      <c r="AU6" s="621"/>
      <c r="AV6" s="621"/>
      <c r="AW6" s="621"/>
      <c r="AX6" s="621"/>
      <c r="AY6" s="621"/>
      <c r="AZ6" s="621"/>
      <c r="BA6" s="621"/>
      <c r="BB6" s="621"/>
      <c r="BC6" s="621"/>
      <c r="BD6" s="621"/>
      <c r="BE6" s="621"/>
      <c r="BF6" s="621"/>
      <c r="BG6" s="621"/>
      <c r="BH6" s="621"/>
      <c r="BI6" s="621"/>
      <c r="BJ6" s="621"/>
      <c r="BK6" s="621"/>
      <c r="BL6" s="621"/>
      <c r="BM6" s="621"/>
      <c r="BN6" s="621"/>
      <c r="BO6" s="621"/>
      <c r="BP6" s="621"/>
      <c r="BQ6" s="621"/>
    </row>
    <row r="7" spans="1:86" s="623" customFormat="1" ht="14">
      <c r="A7" s="620" t="s">
        <v>90</v>
      </c>
      <c r="B7" s="620"/>
      <c r="C7" s="620"/>
      <c r="D7" s="620"/>
      <c r="E7" s="620"/>
      <c r="F7" s="620"/>
      <c r="G7" s="620"/>
      <c r="H7" s="620"/>
      <c r="I7" s="620"/>
      <c r="J7" s="620"/>
      <c r="K7" s="620"/>
      <c r="L7" s="620"/>
      <c r="M7" s="620"/>
      <c r="N7" s="620"/>
      <c r="O7" s="620"/>
      <c r="P7" s="620"/>
      <c r="Q7" s="620"/>
      <c r="R7" s="620"/>
      <c r="S7" s="620"/>
      <c r="T7" s="620"/>
      <c r="U7" s="620"/>
      <c r="V7" s="620"/>
      <c r="W7" s="620"/>
      <c r="X7" s="620"/>
      <c r="Y7" s="620"/>
      <c r="Z7" s="620"/>
      <c r="AA7" s="620"/>
      <c r="AB7" s="620"/>
      <c r="AC7" s="620"/>
      <c r="AD7" s="620"/>
      <c r="AE7" s="620"/>
      <c r="AF7" s="620"/>
      <c r="AG7" s="620"/>
      <c r="AH7" s="620"/>
      <c r="AI7" s="620"/>
      <c r="AJ7" s="620"/>
      <c r="AK7" s="620"/>
      <c r="AL7" s="620"/>
      <c r="AM7" s="620"/>
      <c r="AN7" s="620"/>
      <c r="AO7" s="620"/>
      <c r="AP7" s="620"/>
      <c r="AQ7" s="620"/>
      <c r="AR7" s="620"/>
      <c r="AS7" s="620"/>
      <c r="AT7" s="620"/>
      <c r="AU7" s="620"/>
      <c r="AV7" s="620"/>
      <c r="AW7" s="620"/>
      <c r="AX7" s="620"/>
      <c r="AY7" s="620"/>
      <c r="AZ7" s="620"/>
      <c r="BA7" s="620"/>
      <c r="BB7" s="620"/>
      <c r="BC7" s="620"/>
      <c r="BD7" s="620"/>
      <c r="BE7" s="620"/>
      <c r="BF7" s="620"/>
      <c r="BG7" s="620"/>
      <c r="BH7" s="620"/>
      <c r="BI7" s="620"/>
      <c r="BJ7" s="620"/>
      <c r="BK7" s="620"/>
      <c r="BL7" s="620"/>
      <c r="BM7" s="620"/>
      <c r="BN7" s="620"/>
      <c r="BO7" s="620"/>
      <c r="BP7" s="620"/>
      <c r="BQ7" s="620"/>
      <c r="BR7" s="620"/>
      <c r="BS7" s="620"/>
      <c r="BT7" s="620"/>
      <c r="BU7" s="620"/>
      <c r="BV7" s="620"/>
      <c r="BW7" s="620"/>
      <c r="BX7" s="620"/>
      <c r="BY7" s="620"/>
      <c r="BZ7" s="620"/>
      <c r="CA7" s="620"/>
      <c r="CB7" s="620"/>
      <c r="CC7" s="620"/>
      <c r="CD7" s="620"/>
      <c r="CE7" s="620"/>
      <c r="CF7" s="620"/>
      <c r="CG7" s="620"/>
      <c r="CH7" s="620"/>
    </row>
    <row r="8" spans="1:86" s="112" customFormat="1" ht="14">
      <c r="A8" s="63"/>
      <c r="B8" s="63"/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</row>
    <row r="9" spans="1:86" s="112" customFormat="1" ht="14">
      <c r="A9" s="62" t="s">
        <v>60</v>
      </c>
      <c r="B9" s="65"/>
      <c r="C9" s="63"/>
      <c r="D9" s="63"/>
      <c r="E9" s="63"/>
      <c r="F9" s="63"/>
      <c r="G9" s="63"/>
      <c r="H9" s="63"/>
      <c r="I9" s="63"/>
      <c r="J9" s="63"/>
      <c r="K9" s="63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3"/>
      <c r="AX9" s="63"/>
      <c r="AY9" s="63"/>
      <c r="AZ9" s="63"/>
      <c r="BA9" s="63"/>
      <c r="BB9" s="63"/>
      <c r="BC9" s="63"/>
      <c r="BD9" s="63"/>
      <c r="BE9" s="63"/>
      <c r="BF9" s="63"/>
      <c r="BG9" s="63"/>
      <c r="BH9" s="63"/>
      <c r="BI9" s="63"/>
      <c r="BJ9" s="63"/>
      <c r="BK9" s="63"/>
      <c r="BL9" s="63"/>
      <c r="BM9" s="63"/>
      <c r="BN9" s="63"/>
      <c r="BO9" s="63"/>
      <c r="BP9" s="63"/>
      <c r="BQ9" s="63"/>
    </row>
    <row r="10" spans="1:86" s="112" customFormat="1" ht="14" outlineLevel="1">
      <c r="A10" s="82" t="s">
        <v>252</v>
      </c>
      <c r="B10" s="600">
        <f>+'Resid - Datos'!B29</f>
        <v>64.125</v>
      </c>
      <c r="C10" s="601">
        <f>SUM(D10:CO10)</f>
        <v>1.0000000000000004</v>
      </c>
      <c r="D10" s="90"/>
      <c r="E10" s="91"/>
      <c r="F10" s="91"/>
      <c r="G10" s="91"/>
      <c r="H10" s="91"/>
      <c r="I10" s="91"/>
      <c r="J10" s="624">
        <v>0.1</v>
      </c>
      <c r="K10" s="624">
        <v>7.4999999999999997E-2</v>
      </c>
      <c r="L10" s="624">
        <v>6.5000000000000002E-2</v>
      </c>
      <c r="M10" s="624">
        <v>0.05</v>
      </c>
      <c r="N10" s="624">
        <v>0.05</v>
      </c>
      <c r="O10" s="624">
        <v>0.05</v>
      </c>
      <c r="P10" s="624">
        <v>3.5000000000000003E-2</v>
      </c>
      <c r="Q10" s="624">
        <v>3.5000000000000003E-2</v>
      </c>
      <c r="R10" s="624">
        <v>3.5000000000000003E-2</v>
      </c>
      <c r="S10" s="624">
        <v>2.5000000000000001E-2</v>
      </c>
      <c r="T10" s="624">
        <v>2.5000000000000001E-2</v>
      </c>
      <c r="U10" s="624">
        <v>2.5000000000000001E-2</v>
      </c>
      <c r="V10" s="624">
        <v>0.02</v>
      </c>
      <c r="W10" s="624">
        <v>0.02</v>
      </c>
      <c r="X10" s="624">
        <v>0.02</v>
      </c>
      <c r="Y10" s="624">
        <v>0.02</v>
      </c>
      <c r="Z10" s="624">
        <v>0.02</v>
      </c>
      <c r="AA10" s="624">
        <v>0.02</v>
      </c>
      <c r="AB10" s="624">
        <v>0.02</v>
      </c>
      <c r="AC10" s="624">
        <v>0.02</v>
      </c>
      <c r="AD10" s="624">
        <v>0.02</v>
      </c>
      <c r="AE10" s="624">
        <v>0.02</v>
      </c>
      <c r="AF10" s="624">
        <v>0.02</v>
      </c>
      <c r="AG10" s="624">
        <v>0.02</v>
      </c>
      <c r="AH10" s="624">
        <v>1.4999999999999999E-2</v>
      </c>
      <c r="AI10" s="624">
        <v>1.4999999999999999E-2</v>
      </c>
      <c r="AJ10" s="624">
        <v>1.4999999999999999E-2</v>
      </c>
      <c r="AK10" s="624">
        <v>1.4999999999999999E-2</v>
      </c>
      <c r="AL10" s="624">
        <v>1.4999999999999999E-2</v>
      </c>
      <c r="AM10" s="624">
        <v>1.4999999999999999E-2</v>
      </c>
      <c r="AN10" s="624">
        <v>1.4999999999999999E-2</v>
      </c>
      <c r="AO10" s="624">
        <v>1.4999999999999999E-2</v>
      </c>
      <c r="AP10" s="624">
        <v>1.4999999999999999E-2</v>
      </c>
      <c r="AQ10" s="624">
        <v>1.4999999999999999E-2</v>
      </c>
      <c r="AR10" s="624">
        <v>0.01</v>
      </c>
      <c r="AS10" s="624">
        <v>0.01</v>
      </c>
      <c r="AT10" s="624">
        <v>0.01</v>
      </c>
      <c r="AU10" s="624">
        <v>0.01</v>
      </c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92"/>
      <c r="BL10" s="92"/>
      <c r="BM10" s="92"/>
      <c r="BN10" s="92"/>
      <c r="BO10" s="92"/>
      <c r="BP10" s="92"/>
      <c r="BQ10" s="92"/>
    </row>
    <row r="11" spans="1:86" s="112" customFormat="1" ht="14" outlineLevel="1">
      <c r="A11" s="84" t="s">
        <v>253</v>
      </c>
      <c r="B11" s="602">
        <f>+'Resid - Datos'!B30</f>
        <v>62.7</v>
      </c>
      <c r="C11" s="603">
        <f>SUM(D11:CO11)</f>
        <v>1.0000000000000004</v>
      </c>
      <c r="D11" s="93"/>
      <c r="E11" s="94"/>
      <c r="F11" s="94"/>
      <c r="G11" s="94"/>
      <c r="H11" s="94"/>
      <c r="I11" s="94"/>
      <c r="J11" s="85">
        <f>+J10</f>
        <v>0.1</v>
      </c>
      <c r="K11" s="85">
        <f t="shared" ref="K11:U13" si="0">+K10</f>
        <v>7.4999999999999997E-2</v>
      </c>
      <c r="L11" s="85">
        <f t="shared" si="0"/>
        <v>6.5000000000000002E-2</v>
      </c>
      <c r="M11" s="85">
        <f t="shared" si="0"/>
        <v>0.05</v>
      </c>
      <c r="N11" s="85">
        <f t="shared" si="0"/>
        <v>0.05</v>
      </c>
      <c r="O11" s="85">
        <f t="shared" si="0"/>
        <v>0.05</v>
      </c>
      <c r="P11" s="85">
        <f t="shared" si="0"/>
        <v>3.5000000000000003E-2</v>
      </c>
      <c r="Q11" s="85">
        <f t="shared" si="0"/>
        <v>3.5000000000000003E-2</v>
      </c>
      <c r="R11" s="85">
        <f t="shared" si="0"/>
        <v>3.5000000000000003E-2</v>
      </c>
      <c r="S11" s="85">
        <f t="shared" si="0"/>
        <v>2.5000000000000001E-2</v>
      </c>
      <c r="T11" s="85">
        <f t="shared" si="0"/>
        <v>2.5000000000000001E-2</v>
      </c>
      <c r="U11" s="85">
        <f t="shared" si="0"/>
        <v>2.5000000000000001E-2</v>
      </c>
      <c r="V11" s="85">
        <f t="shared" ref="V11:V13" si="1">+V10</f>
        <v>0.02</v>
      </c>
      <c r="W11" s="85">
        <f t="shared" ref="W11:W13" si="2">+W10</f>
        <v>0.02</v>
      </c>
      <c r="X11" s="85">
        <f t="shared" ref="X11:X13" si="3">+X10</f>
        <v>0.02</v>
      </c>
      <c r="Y11" s="85">
        <f t="shared" ref="Y11:Y13" si="4">+Y10</f>
        <v>0.02</v>
      </c>
      <c r="Z11" s="85">
        <f t="shared" ref="Z11:Z13" si="5">+Z10</f>
        <v>0.02</v>
      </c>
      <c r="AA11" s="85">
        <f t="shared" ref="AA11:AA13" si="6">+AA10</f>
        <v>0.02</v>
      </c>
      <c r="AB11" s="85">
        <f t="shared" ref="AB11:AB13" si="7">+AB10</f>
        <v>0.02</v>
      </c>
      <c r="AC11" s="85">
        <f t="shared" ref="AC11:AC13" si="8">+AC10</f>
        <v>0.02</v>
      </c>
      <c r="AD11" s="85">
        <f t="shared" ref="AD11:AD13" si="9">+AD10</f>
        <v>0.02</v>
      </c>
      <c r="AE11" s="85">
        <f t="shared" ref="AE11:AE13" si="10">+AE10</f>
        <v>0.02</v>
      </c>
      <c r="AF11" s="85">
        <f t="shared" ref="AF11:AF13" si="11">+AF10</f>
        <v>0.02</v>
      </c>
      <c r="AG11" s="85">
        <f t="shared" ref="AG11:AG13" si="12">+AG10</f>
        <v>0.02</v>
      </c>
      <c r="AH11" s="85">
        <f t="shared" ref="AH11:AH13" si="13">+AH10</f>
        <v>1.4999999999999999E-2</v>
      </c>
      <c r="AI11" s="85">
        <f t="shared" ref="AI11:AI13" si="14">+AI10</f>
        <v>1.4999999999999999E-2</v>
      </c>
      <c r="AJ11" s="85">
        <f t="shared" ref="AJ11:AJ13" si="15">+AJ10</f>
        <v>1.4999999999999999E-2</v>
      </c>
      <c r="AK11" s="85">
        <f t="shared" ref="AK11:AK13" si="16">+AK10</f>
        <v>1.4999999999999999E-2</v>
      </c>
      <c r="AL11" s="85">
        <f t="shared" ref="AL11:AL13" si="17">+AL10</f>
        <v>1.4999999999999999E-2</v>
      </c>
      <c r="AM11" s="85">
        <f t="shared" ref="AM11:AM13" si="18">+AM10</f>
        <v>1.4999999999999999E-2</v>
      </c>
      <c r="AN11" s="85">
        <f t="shared" ref="AN11:AN13" si="19">+AN10</f>
        <v>1.4999999999999999E-2</v>
      </c>
      <c r="AO11" s="85">
        <f t="shared" ref="AO11:AO13" si="20">+AO10</f>
        <v>1.4999999999999999E-2</v>
      </c>
      <c r="AP11" s="85">
        <f t="shared" ref="AP11:AS13" si="21">+AP10</f>
        <v>1.4999999999999999E-2</v>
      </c>
      <c r="AQ11" s="85">
        <f t="shared" si="21"/>
        <v>1.4999999999999999E-2</v>
      </c>
      <c r="AR11" s="85">
        <f t="shared" si="21"/>
        <v>0.01</v>
      </c>
      <c r="AS11" s="85">
        <f t="shared" si="21"/>
        <v>0.01</v>
      </c>
      <c r="AT11" s="85">
        <f t="shared" ref="AT11:AU11" si="22">+AT10</f>
        <v>0.01</v>
      </c>
      <c r="AU11" s="85">
        <f t="shared" si="22"/>
        <v>0.01</v>
      </c>
      <c r="AV11" s="85"/>
      <c r="AW11" s="85"/>
      <c r="AX11" s="85"/>
      <c r="AY11" s="85"/>
      <c r="AZ11" s="85"/>
      <c r="BA11" s="85"/>
      <c r="BB11" s="85"/>
      <c r="BC11" s="85"/>
      <c r="BD11" s="85"/>
      <c r="BE11" s="85"/>
      <c r="BF11" s="85"/>
      <c r="BG11" s="85"/>
      <c r="BH11" s="95"/>
      <c r="BI11" s="95"/>
      <c r="BJ11" s="95"/>
      <c r="BK11" s="95"/>
      <c r="BL11" s="95"/>
      <c r="BM11" s="95"/>
      <c r="BN11" s="95"/>
      <c r="BO11" s="95"/>
      <c r="BP11" s="95"/>
      <c r="BQ11" s="95"/>
    </row>
    <row r="12" spans="1:86" s="112" customFormat="1" ht="14" outlineLevel="1">
      <c r="A12" s="84" t="s">
        <v>254</v>
      </c>
      <c r="B12" s="602">
        <f>+'Resid - Datos'!B31</f>
        <v>62.7</v>
      </c>
      <c r="C12" s="603">
        <f>SUM(D12:CO12)</f>
        <v>1.0000000000000004</v>
      </c>
      <c r="D12" s="93"/>
      <c r="E12" s="94"/>
      <c r="F12" s="94"/>
      <c r="G12" s="94"/>
      <c r="H12" s="94"/>
      <c r="I12" s="94"/>
      <c r="J12" s="85">
        <f>+J11</f>
        <v>0.1</v>
      </c>
      <c r="K12" s="85">
        <f t="shared" si="0"/>
        <v>7.4999999999999997E-2</v>
      </c>
      <c r="L12" s="85">
        <f t="shared" si="0"/>
        <v>6.5000000000000002E-2</v>
      </c>
      <c r="M12" s="85">
        <f t="shared" si="0"/>
        <v>0.05</v>
      </c>
      <c r="N12" s="85">
        <f t="shared" si="0"/>
        <v>0.05</v>
      </c>
      <c r="O12" s="85">
        <f t="shared" si="0"/>
        <v>0.05</v>
      </c>
      <c r="P12" s="85">
        <f t="shared" si="0"/>
        <v>3.5000000000000003E-2</v>
      </c>
      <c r="Q12" s="85">
        <f t="shared" si="0"/>
        <v>3.5000000000000003E-2</v>
      </c>
      <c r="R12" s="85">
        <f t="shared" si="0"/>
        <v>3.5000000000000003E-2</v>
      </c>
      <c r="S12" s="85">
        <f t="shared" si="0"/>
        <v>2.5000000000000001E-2</v>
      </c>
      <c r="T12" s="85">
        <f t="shared" si="0"/>
        <v>2.5000000000000001E-2</v>
      </c>
      <c r="U12" s="85">
        <f t="shared" si="0"/>
        <v>2.5000000000000001E-2</v>
      </c>
      <c r="V12" s="85">
        <f t="shared" si="1"/>
        <v>0.02</v>
      </c>
      <c r="W12" s="85">
        <f t="shared" si="2"/>
        <v>0.02</v>
      </c>
      <c r="X12" s="85">
        <f t="shared" si="3"/>
        <v>0.02</v>
      </c>
      <c r="Y12" s="85">
        <f t="shared" si="4"/>
        <v>0.02</v>
      </c>
      <c r="Z12" s="85">
        <f t="shared" si="5"/>
        <v>0.02</v>
      </c>
      <c r="AA12" s="85">
        <f t="shared" si="6"/>
        <v>0.02</v>
      </c>
      <c r="AB12" s="85">
        <f t="shared" si="7"/>
        <v>0.02</v>
      </c>
      <c r="AC12" s="85">
        <f t="shared" si="8"/>
        <v>0.02</v>
      </c>
      <c r="AD12" s="85">
        <f t="shared" si="9"/>
        <v>0.02</v>
      </c>
      <c r="AE12" s="85">
        <f t="shared" si="10"/>
        <v>0.02</v>
      </c>
      <c r="AF12" s="85">
        <f t="shared" si="11"/>
        <v>0.02</v>
      </c>
      <c r="AG12" s="85">
        <f t="shared" si="12"/>
        <v>0.02</v>
      </c>
      <c r="AH12" s="85">
        <f t="shared" si="13"/>
        <v>1.4999999999999999E-2</v>
      </c>
      <c r="AI12" s="85">
        <f t="shared" si="14"/>
        <v>1.4999999999999999E-2</v>
      </c>
      <c r="AJ12" s="85">
        <f t="shared" si="15"/>
        <v>1.4999999999999999E-2</v>
      </c>
      <c r="AK12" s="85">
        <f t="shared" si="16"/>
        <v>1.4999999999999999E-2</v>
      </c>
      <c r="AL12" s="85">
        <f t="shared" si="17"/>
        <v>1.4999999999999999E-2</v>
      </c>
      <c r="AM12" s="85">
        <f t="shared" si="18"/>
        <v>1.4999999999999999E-2</v>
      </c>
      <c r="AN12" s="85">
        <f t="shared" si="19"/>
        <v>1.4999999999999999E-2</v>
      </c>
      <c r="AO12" s="85">
        <f t="shared" si="20"/>
        <v>1.4999999999999999E-2</v>
      </c>
      <c r="AP12" s="85">
        <f t="shared" si="21"/>
        <v>1.4999999999999999E-2</v>
      </c>
      <c r="AQ12" s="85">
        <f t="shared" si="21"/>
        <v>1.4999999999999999E-2</v>
      </c>
      <c r="AR12" s="85">
        <f t="shared" si="21"/>
        <v>0.01</v>
      </c>
      <c r="AS12" s="85">
        <f t="shared" si="21"/>
        <v>0.01</v>
      </c>
      <c r="AT12" s="85">
        <f t="shared" ref="AT12:AU12" si="23">+AT11</f>
        <v>0.01</v>
      </c>
      <c r="AU12" s="85">
        <f t="shared" si="23"/>
        <v>0.01</v>
      </c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95"/>
      <c r="BI12" s="95"/>
      <c r="BJ12" s="95"/>
      <c r="BK12" s="95"/>
      <c r="BL12" s="95"/>
      <c r="BM12" s="95"/>
      <c r="BN12" s="95"/>
      <c r="BO12" s="95"/>
      <c r="BP12" s="95"/>
      <c r="BQ12" s="95"/>
    </row>
    <row r="13" spans="1:86" s="112" customFormat="1" ht="14" outlineLevel="1">
      <c r="A13" s="86" t="s">
        <v>255</v>
      </c>
      <c r="B13" s="604">
        <f>+'Resid - Datos'!B32</f>
        <v>38.475000000000001</v>
      </c>
      <c r="C13" s="605">
        <f>SUM(D13:CO13)</f>
        <v>1.0000000000000004</v>
      </c>
      <c r="D13" s="96"/>
      <c r="E13" s="97"/>
      <c r="F13" s="97"/>
      <c r="G13" s="97"/>
      <c r="H13" s="97"/>
      <c r="I13" s="97"/>
      <c r="J13" s="88">
        <f>+J12</f>
        <v>0.1</v>
      </c>
      <c r="K13" s="88">
        <f t="shared" si="0"/>
        <v>7.4999999999999997E-2</v>
      </c>
      <c r="L13" s="88">
        <f t="shared" si="0"/>
        <v>6.5000000000000002E-2</v>
      </c>
      <c r="M13" s="88">
        <f t="shared" si="0"/>
        <v>0.05</v>
      </c>
      <c r="N13" s="88">
        <f t="shared" si="0"/>
        <v>0.05</v>
      </c>
      <c r="O13" s="88">
        <f t="shared" si="0"/>
        <v>0.05</v>
      </c>
      <c r="P13" s="88">
        <f t="shared" si="0"/>
        <v>3.5000000000000003E-2</v>
      </c>
      <c r="Q13" s="88">
        <f t="shared" si="0"/>
        <v>3.5000000000000003E-2</v>
      </c>
      <c r="R13" s="88">
        <f t="shared" si="0"/>
        <v>3.5000000000000003E-2</v>
      </c>
      <c r="S13" s="88">
        <f t="shared" si="0"/>
        <v>2.5000000000000001E-2</v>
      </c>
      <c r="T13" s="88">
        <f t="shared" si="0"/>
        <v>2.5000000000000001E-2</v>
      </c>
      <c r="U13" s="88">
        <f t="shared" si="0"/>
        <v>2.5000000000000001E-2</v>
      </c>
      <c r="V13" s="88">
        <f t="shared" si="1"/>
        <v>0.02</v>
      </c>
      <c r="W13" s="88">
        <f t="shared" si="2"/>
        <v>0.02</v>
      </c>
      <c r="X13" s="88">
        <f t="shared" si="3"/>
        <v>0.02</v>
      </c>
      <c r="Y13" s="88">
        <f t="shared" si="4"/>
        <v>0.02</v>
      </c>
      <c r="Z13" s="88">
        <f t="shared" si="5"/>
        <v>0.02</v>
      </c>
      <c r="AA13" s="88">
        <f t="shared" si="6"/>
        <v>0.02</v>
      </c>
      <c r="AB13" s="88">
        <f t="shared" si="7"/>
        <v>0.02</v>
      </c>
      <c r="AC13" s="88">
        <f t="shared" si="8"/>
        <v>0.02</v>
      </c>
      <c r="AD13" s="88">
        <f t="shared" si="9"/>
        <v>0.02</v>
      </c>
      <c r="AE13" s="88">
        <f t="shared" si="10"/>
        <v>0.02</v>
      </c>
      <c r="AF13" s="88">
        <f t="shared" si="11"/>
        <v>0.02</v>
      </c>
      <c r="AG13" s="88">
        <f t="shared" si="12"/>
        <v>0.02</v>
      </c>
      <c r="AH13" s="88">
        <f t="shared" si="13"/>
        <v>1.4999999999999999E-2</v>
      </c>
      <c r="AI13" s="88">
        <f t="shared" si="14"/>
        <v>1.4999999999999999E-2</v>
      </c>
      <c r="AJ13" s="88">
        <f t="shared" si="15"/>
        <v>1.4999999999999999E-2</v>
      </c>
      <c r="AK13" s="88">
        <f t="shared" si="16"/>
        <v>1.4999999999999999E-2</v>
      </c>
      <c r="AL13" s="88">
        <f t="shared" si="17"/>
        <v>1.4999999999999999E-2</v>
      </c>
      <c r="AM13" s="88">
        <f t="shared" si="18"/>
        <v>1.4999999999999999E-2</v>
      </c>
      <c r="AN13" s="88">
        <f t="shared" si="19"/>
        <v>1.4999999999999999E-2</v>
      </c>
      <c r="AO13" s="88">
        <f t="shared" si="20"/>
        <v>1.4999999999999999E-2</v>
      </c>
      <c r="AP13" s="88">
        <f t="shared" si="21"/>
        <v>1.4999999999999999E-2</v>
      </c>
      <c r="AQ13" s="88">
        <f t="shared" si="21"/>
        <v>1.4999999999999999E-2</v>
      </c>
      <c r="AR13" s="88">
        <f t="shared" si="21"/>
        <v>0.01</v>
      </c>
      <c r="AS13" s="88">
        <f t="shared" si="21"/>
        <v>0.01</v>
      </c>
      <c r="AT13" s="88">
        <f t="shared" ref="AT13:AU13" si="24">+AT12</f>
        <v>0.01</v>
      </c>
      <c r="AU13" s="88">
        <f t="shared" si="24"/>
        <v>0.01</v>
      </c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98"/>
      <c r="BI13" s="98"/>
      <c r="BJ13" s="98"/>
      <c r="BK13" s="98"/>
      <c r="BL13" s="98"/>
      <c r="BM13" s="98"/>
      <c r="BN13" s="98"/>
      <c r="BO13" s="98"/>
      <c r="BP13" s="98"/>
      <c r="BQ13" s="98"/>
    </row>
    <row r="14" spans="1:86" s="116" customFormat="1" ht="12.75" customHeight="1">
      <c r="A14" s="89" t="s">
        <v>61</v>
      </c>
      <c r="B14" s="606">
        <f>SUM(B10:B13)</f>
        <v>228</v>
      </c>
      <c r="C14" s="607">
        <f>SUM(D14:CO14)</f>
        <v>227.99999999999994</v>
      </c>
      <c r="D14" s="313">
        <f>SUMPRODUCT(D10:D13,'Resid - BCase Base CF'!$B$10:$B$13)</f>
        <v>0</v>
      </c>
      <c r="E14" s="313">
        <f>SUMPRODUCT(E10:E13,'Resid - BCase Base CF'!$B$10:$B$13)</f>
        <v>0</v>
      </c>
      <c r="F14" s="313">
        <f>SUMPRODUCT(F10:F13,'Resid - BCase Base CF'!$B$10:$B$13)</f>
        <v>0</v>
      </c>
      <c r="G14" s="313">
        <f>SUMPRODUCT(G10:G13,'Resid - BCase Base CF'!$B$10:$B$13)</f>
        <v>0</v>
      </c>
      <c r="H14" s="313">
        <f>SUMPRODUCT(H10:H13,'Resid - BCase Base CF'!$B$10:$B$13)</f>
        <v>0</v>
      </c>
      <c r="I14" s="313">
        <f>SUMPRODUCT(I10:I13,'Resid - BCase Base CF'!$B$10:$B$13)</f>
        <v>0</v>
      </c>
      <c r="J14" s="313">
        <f>SUMPRODUCT(J10:J13,'Resid - BCase Base CF'!$B$10:$B$13)</f>
        <v>22.8</v>
      </c>
      <c r="K14" s="313">
        <f>SUMPRODUCT(K10:K13,'Resid - BCase Base CF'!$B$10:$B$13)</f>
        <v>17.100000000000001</v>
      </c>
      <c r="L14" s="313">
        <f>SUMPRODUCT(L10:L13,'Resid - BCase Base CF'!$B$10:$B$13)</f>
        <v>14.82</v>
      </c>
      <c r="M14" s="313">
        <f>SUMPRODUCT(M10:M13,'Resid - BCase Base CF'!$B$10:$B$13)</f>
        <v>11.4</v>
      </c>
      <c r="N14" s="313">
        <f>SUMPRODUCT(N10:N13,'Resid - BCase Base CF'!$B$10:$B$13)</f>
        <v>11.4</v>
      </c>
      <c r="O14" s="313">
        <f>SUMPRODUCT(O10:O13,'Resid - BCase Base CF'!$B$10:$B$13)</f>
        <v>11.4</v>
      </c>
      <c r="P14" s="313">
        <f>SUMPRODUCT(P10:P13,'Resid - BCase Base CF'!$B$10:$B$13)</f>
        <v>7.9800000000000013</v>
      </c>
      <c r="Q14" s="313">
        <f>SUMPRODUCT(Q10:Q13,'Resid - BCase Base CF'!$B$10:$B$13)</f>
        <v>7.9800000000000013</v>
      </c>
      <c r="R14" s="313">
        <f>SUMPRODUCT(R10:R13,'Resid - BCase Base CF'!$B$10:$B$13)</f>
        <v>7.9800000000000013</v>
      </c>
      <c r="S14" s="313">
        <f>SUMPRODUCT(S10:S13,'Resid - BCase Base CF'!$B$10:$B$13)</f>
        <v>5.7</v>
      </c>
      <c r="T14" s="313">
        <f>SUMPRODUCT(T10:T13,'Resid - BCase Base CF'!$B$10:$B$13)</f>
        <v>5.7</v>
      </c>
      <c r="U14" s="313">
        <f>SUMPRODUCT(U10:U13,'Resid - BCase Base CF'!$B$10:$B$13)</f>
        <v>5.7</v>
      </c>
      <c r="V14" s="313">
        <f>SUMPRODUCT(V10:V13,'Resid - BCase Base CF'!$B$10:$B$13)</f>
        <v>4.5600000000000005</v>
      </c>
      <c r="W14" s="313">
        <f>SUMPRODUCT(W10:W13,'Resid - BCase Base CF'!$B$10:$B$13)</f>
        <v>4.5600000000000005</v>
      </c>
      <c r="X14" s="313">
        <f>SUMPRODUCT(X10:X13,'Resid - BCase Base CF'!$B$10:$B$13)</f>
        <v>4.5600000000000005</v>
      </c>
      <c r="Y14" s="313">
        <f>SUMPRODUCT(Y10:Y13,'Resid - BCase Base CF'!$B$10:$B$13)</f>
        <v>4.5600000000000005</v>
      </c>
      <c r="Z14" s="313">
        <f>SUMPRODUCT(Z10:Z13,'Resid - BCase Base CF'!$B$10:$B$13)</f>
        <v>4.5600000000000005</v>
      </c>
      <c r="AA14" s="313">
        <f>SUMPRODUCT(AA10:AA13,'Resid - BCase Base CF'!$B$10:$B$13)</f>
        <v>4.5600000000000005</v>
      </c>
      <c r="AB14" s="313">
        <f>SUMPRODUCT(AB10:AB13,'Resid - BCase Base CF'!$B$10:$B$13)</f>
        <v>4.5600000000000005</v>
      </c>
      <c r="AC14" s="313">
        <f>SUMPRODUCT(AC10:AC13,'Resid - BCase Base CF'!$B$10:$B$13)</f>
        <v>4.5600000000000005</v>
      </c>
      <c r="AD14" s="313">
        <f>SUMPRODUCT(AD10:AD13,'Resid - BCase Base CF'!$B$10:$B$13)</f>
        <v>4.5600000000000005</v>
      </c>
      <c r="AE14" s="313">
        <f>SUMPRODUCT(AE10:AE13,'Resid - BCase Base CF'!$B$10:$B$13)</f>
        <v>4.5600000000000005</v>
      </c>
      <c r="AF14" s="313">
        <f>SUMPRODUCT(AF10:AF13,'Resid - BCase Base CF'!$B$10:$B$13)</f>
        <v>4.5600000000000005</v>
      </c>
      <c r="AG14" s="313">
        <f>SUMPRODUCT(AG10:AG13,'Resid - BCase Base CF'!$B$10:$B$13)</f>
        <v>4.5600000000000005</v>
      </c>
      <c r="AH14" s="313">
        <f>SUMPRODUCT(AH10:AH13,'Resid - BCase Base CF'!$B$10:$B$13)</f>
        <v>3.42</v>
      </c>
      <c r="AI14" s="313">
        <f>SUMPRODUCT(AI10:AI13,'Resid - BCase Base CF'!$B$10:$B$13)</f>
        <v>3.42</v>
      </c>
      <c r="AJ14" s="313">
        <f>SUMPRODUCT(AJ10:AJ13,'Resid - BCase Base CF'!$B$10:$B$13)</f>
        <v>3.42</v>
      </c>
      <c r="AK14" s="313">
        <f>SUMPRODUCT(AK10:AK13,'Resid - BCase Base CF'!$B$10:$B$13)</f>
        <v>3.42</v>
      </c>
      <c r="AL14" s="313">
        <f>SUMPRODUCT(AL10:AL13,'Resid - BCase Base CF'!$B$10:$B$13)</f>
        <v>3.42</v>
      </c>
      <c r="AM14" s="313">
        <f>SUMPRODUCT(AM10:AM13,'Resid - BCase Base CF'!$B$10:$B$13)</f>
        <v>3.42</v>
      </c>
      <c r="AN14" s="313">
        <f>SUMPRODUCT(AN10:AN13,'Resid - BCase Base CF'!$B$10:$B$13)</f>
        <v>3.42</v>
      </c>
      <c r="AO14" s="313">
        <f>SUMPRODUCT(AO10:AO13,'Resid - BCase Base CF'!$B$10:$B$13)</f>
        <v>3.42</v>
      </c>
      <c r="AP14" s="313">
        <f>SUMPRODUCT(AP10:AP13,'Resid - BCase Base CF'!$B$10:$B$13)</f>
        <v>3.42</v>
      </c>
      <c r="AQ14" s="313">
        <f>SUMPRODUCT(AQ10:AQ13,'Resid - BCase Base CF'!$B$10:$B$13)</f>
        <v>3.42</v>
      </c>
      <c r="AR14" s="313">
        <f>SUMPRODUCT(AR10:AR13,'Resid - BCase Base CF'!$B$10:$B$13)</f>
        <v>2.2800000000000002</v>
      </c>
      <c r="AS14" s="313">
        <f>SUMPRODUCT(AS10:AS13,'Resid - BCase Base CF'!$B$10:$B$13)</f>
        <v>2.2800000000000002</v>
      </c>
      <c r="AT14" s="313">
        <f>SUMPRODUCT(AT10:AT13,'Resid - BCase Base CF'!$B$10:$B$13)</f>
        <v>2.2800000000000002</v>
      </c>
      <c r="AU14" s="313">
        <f>SUMPRODUCT(AU10:AU13,'Resid - BCase Base CF'!$B$10:$B$13)</f>
        <v>2.2800000000000002</v>
      </c>
      <c r="AV14" s="313">
        <f>SUMPRODUCT(AV10:AV13,'Resid - BCase Base CF'!$B$10:$B$13)</f>
        <v>0</v>
      </c>
      <c r="AW14" s="313">
        <f>SUMPRODUCT(AW10:AW13,'Resid - BCase Base CF'!$B$10:$B$13)</f>
        <v>0</v>
      </c>
      <c r="AX14" s="313">
        <f>SUMPRODUCT(AX10:AX13,'Resid - BCase Base CF'!$B$10:$B$13)</f>
        <v>0</v>
      </c>
      <c r="AY14" s="313">
        <f>SUMPRODUCT(AY10:AY13,'Resid - BCase Base CF'!$B$10:$B$13)</f>
        <v>0</v>
      </c>
      <c r="AZ14" s="313">
        <f>SUMPRODUCT(AZ10:AZ13,'Resid - BCase Base CF'!$B$10:$B$13)</f>
        <v>0</v>
      </c>
      <c r="BA14" s="313">
        <f>SUMPRODUCT(BA10:BA13,'Resid - BCase Base CF'!$B$10:$B$13)</f>
        <v>0</v>
      </c>
      <c r="BB14" s="313">
        <f>SUMPRODUCT(BB10:BB13,'Resid - BCase Base CF'!$B$10:$B$13)</f>
        <v>0</v>
      </c>
      <c r="BC14" s="313">
        <f>SUMPRODUCT(BC10:BC13,'Resid - BCase Base CF'!$B$10:$B$13)</f>
        <v>0</v>
      </c>
      <c r="BD14" s="313">
        <f>SUMPRODUCT(BD10:BD13,'Resid - BCase Base CF'!$B$10:$B$13)</f>
        <v>0</v>
      </c>
      <c r="BE14" s="313">
        <f>SUMPRODUCT(BE10:BE13,'Resid - BCase Base CF'!$B$10:$B$13)</f>
        <v>0</v>
      </c>
      <c r="BF14" s="313">
        <f>SUMPRODUCT(BF10:BF13,'Resid - BCase Base CF'!$B$10:$B$13)</f>
        <v>0</v>
      </c>
      <c r="BG14" s="313">
        <f>SUMPRODUCT(BG10:BG13,'Resid - BCase Base CF'!$B$10:$B$13)</f>
        <v>0</v>
      </c>
      <c r="BH14" s="313">
        <f>SUMPRODUCT(BH10:BH13,'Resid - BCase Base CF'!$B$10:$B$13)</f>
        <v>0</v>
      </c>
      <c r="BI14" s="313">
        <f>SUMPRODUCT(BI10:BI13,'Resid - BCase Base CF'!$B$10:$B$13)</f>
        <v>0</v>
      </c>
      <c r="BJ14" s="313">
        <f>SUMPRODUCT(BJ10:BJ13,'Resid - BCase Base CF'!$B$10:$B$13)</f>
        <v>0</v>
      </c>
      <c r="BK14" s="313">
        <f>SUMPRODUCT(BK10:BK13,'Resid - BCase Base CF'!$B$10:$B$13)</f>
        <v>0</v>
      </c>
      <c r="BL14" s="313">
        <f>SUMPRODUCT(BL10:BL13,'Resid - BCase Base CF'!$B$10:$B$13)</f>
        <v>0</v>
      </c>
      <c r="BM14" s="313">
        <f>SUMPRODUCT(BM10:BM13,'Resid - BCase Base CF'!$B$10:$B$13)</f>
        <v>0</v>
      </c>
      <c r="BN14" s="313">
        <f>SUMPRODUCT(BN10:BN13,'Resid - BCase Base CF'!$B$10:$B$13)</f>
        <v>0</v>
      </c>
      <c r="BO14" s="313">
        <f>SUMPRODUCT(BO10:BO13,'Resid - BCase Base CF'!$B$10:$B$13)</f>
        <v>0</v>
      </c>
      <c r="BP14" s="313">
        <f>SUMPRODUCT(BP10:BP13,'Resid - BCase Base CF'!$B$10:$B$13)</f>
        <v>0</v>
      </c>
      <c r="BQ14" s="313">
        <f>SUMPRODUCT(BQ10:BQ13,'Resid - BCase Base CF'!$B$10:$B$13)</f>
        <v>0</v>
      </c>
    </row>
    <row r="15" spans="1:86" s="124" customFormat="1" ht="12.75" customHeight="1">
      <c r="A15" s="99" t="s">
        <v>62</v>
      </c>
      <c r="B15" s="463" t="s">
        <v>85</v>
      </c>
      <c r="C15" s="277">
        <f>+C14/38</f>
        <v>5.9999999999999982</v>
      </c>
      <c r="D15" s="99"/>
      <c r="E15" s="100">
        <f>+E14/$B$14+D15</f>
        <v>0</v>
      </c>
      <c r="F15" s="100">
        <f t="shared" ref="F15:BQ15" si="25">+F14/$B$14+E15</f>
        <v>0</v>
      </c>
      <c r="G15" s="100">
        <f t="shared" si="25"/>
        <v>0</v>
      </c>
      <c r="H15" s="100">
        <f t="shared" si="25"/>
        <v>0</v>
      </c>
      <c r="I15" s="100">
        <f t="shared" si="25"/>
        <v>0</v>
      </c>
      <c r="J15" s="100">
        <f t="shared" si="25"/>
        <v>0.1</v>
      </c>
      <c r="K15" s="100">
        <f t="shared" si="25"/>
        <v>0.17500000000000002</v>
      </c>
      <c r="L15" s="100">
        <f t="shared" si="25"/>
        <v>0.24000000000000002</v>
      </c>
      <c r="M15" s="100">
        <f t="shared" si="25"/>
        <v>0.29000000000000004</v>
      </c>
      <c r="N15" s="100">
        <f t="shared" si="25"/>
        <v>0.34</v>
      </c>
      <c r="O15" s="100">
        <f t="shared" si="25"/>
        <v>0.39</v>
      </c>
      <c r="P15" s="100">
        <f t="shared" si="25"/>
        <v>0.42500000000000004</v>
      </c>
      <c r="Q15" s="100">
        <f t="shared" si="25"/>
        <v>0.46000000000000008</v>
      </c>
      <c r="R15" s="100">
        <f t="shared" si="25"/>
        <v>0.49500000000000011</v>
      </c>
      <c r="S15" s="100">
        <f t="shared" si="25"/>
        <v>0.52000000000000013</v>
      </c>
      <c r="T15" s="100">
        <f t="shared" si="25"/>
        <v>0.54500000000000015</v>
      </c>
      <c r="U15" s="100">
        <f t="shared" si="25"/>
        <v>0.57000000000000017</v>
      </c>
      <c r="V15" s="100">
        <f t="shared" si="25"/>
        <v>0.59000000000000019</v>
      </c>
      <c r="W15" s="100">
        <f t="shared" si="25"/>
        <v>0.61000000000000021</v>
      </c>
      <c r="X15" s="100">
        <f t="shared" si="25"/>
        <v>0.63000000000000023</v>
      </c>
      <c r="Y15" s="100">
        <f t="shared" si="25"/>
        <v>0.65000000000000024</v>
      </c>
      <c r="Z15" s="100">
        <f t="shared" si="25"/>
        <v>0.67000000000000026</v>
      </c>
      <c r="AA15" s="100">
        <f t="shared" si="25"/>
        <v>0.69000000000000028</v>
      </c>
      <c r="AB15" s="100">
        <f t="shared" si="25"/>
        <v>0.7100000000000003</v>
      </c>
      <c r="AC15" s="100">
        <f t="shared" si="25"/>
        <v>0.73000000000000032</v>
      </c>
      <c r="AD15" s="100">
        <f t="shared" si="25"/>
        <v>0.75000000000000033</v>
      </c>
      <c r="AE15" s="100">
        <f t="shared" si="25"/>
        <v>0.77000000000000035</v>
      </c>
      <c r="AF15" s="100">
        <f t="shared" si="25"/>
        <v>0.79000000000000037</v>
      </c>
      <c r="AG15" s="100">
        <f t="shared" si="25"/>
        <v>0.81000000000000039</v>
      </c>
      <c r="AH15" s="100">
        <f t="shared" si="25"/>
        <v>0.8250000000000004</v>
      </c>
      <c r="AI15" s="100">
        <f t="shared" si="25"/>
        <v>0.84000000000000041</v>
      </c>
      <c r="AJ15" s="100">
        <f t="shared" si="25"/>
        <v>0.85500000000000043</v>
      </c>
      <c r="AK15" s="100">
        <f t="shared" si="25"/>
        <v>0.87000000000000044</v>
      </c>
      <c r="AL15" s="100">
        <f t="shared" si="25"/>
        <v>0.88500000000000045</v>
      </c>
      <c r="AM15" s="100">
        <f t="shared" si="25"/>
        <v>0.90000000000000047</v>
      </c>
      <c r="AN15" s="100">
        <f t="shared" si="25"/>
        <v>0.91500000000000048</v>
      </c>
      <c r="AO15" s="100">
        <f t="shared" si="25"/>
        <v>0.93000000000000049</v>
      </c>
      <c r="AP15" s="100">
        <f t="shared" si="25"/>
        <v>0.94500000000000051</v>
      </c>
      <c r="AQ15" s="100">
        <f t="shared" si="25"/>
        <v>0.96000000000000052</v>
      </c>
      <c r="AR15" s="100">
        <f t="shared" si="25"/>
        <v>0.97000000000000053</v>
      </c>
      <c r="AS15" s="100">
        <f t="shared" si="25"/>
        <v>0.98000000000000054</v>
      </c>
      <c r="AT15" s="100">
        <f t="shared" si="25"/>
        <v>0.99000000000000055</v>
      </c>
      <c r="AU15" s="100">
        <f t="shared" si="25"/>
        <v>1.0000000000000004</v>
      </c>
      <c r="AV15" s="100">
        <f t="shared" si="25"/>
        <v>1.0000000000000004</v>
      </c>
      <c r="AW15" s="100">
        <f t="shared" si="25"/>
        <v>1.0000000000000004</v>
      </c>
      <c r="AX15" s="100">
        <f t="shared" si="25"/>
        <v>1.0000000000000004</v>
      </c>
      <c r="AY15" s="100">
        <f t="shared" si="25"/>
        <v>1.0000000000000004</v>
      </c>
      <c r="AZ15" s="100">
        <f t="shared" si="25"/>
        <v>1.0000000000000004</v>
      </c>
      <c r="BA15" s="100">
        <f t="shared" si="25"/>
        <v>1.0000000000000004</v>
      </c>
      <c r="BB15" s="100">
        <f t="shared" si="25"/>
        <v>1.0000000000000004</v>
      </c>
      <c r="BC15" s="100">
        <f t="shared" si="25"/>
        <v>1.0000000000000004</v>
      </c>
      <c r="BD15" s="100">
        <f t="shared" si="25"/>
        <v>1.0000000000000004</v>
      </c>
      <c r="BE15" s="100">
        <f t="shared" si="25"/>
        <v>1.0000000000000004</v>
      </c>
      <c r="BF15" s="100">
        <f t="shared" si="25"/>
        <v>1.0000000000000004</v>
      </c>
      <c r="BG15" s="100">
        <f t="shared" si="25"/>
        <v>1.0000000000000004</v>
      </c>
      <c r="BH15" s="100">
        <f t="shared" si="25"/>
        <v>1.0000000000000004</v>
      </c>
      <c r="BI15" s="100">
        <f t="shared" si="25"/>
        <v>1.0000000000000004</v>
      </c>
      <c r="BJ15" s="100">
        <f t="shared" si="25"/>
        <v>1.0000000000000004</v>
      </c>
      <c r="BK15" s="100">
        <f t="shared" si="25"/>
        <v>1.0000000000000004</v>
      </c>
      <c r="BL15" s="100">
        <f t="shared" si="25"/>
        <v>1.0000000000000004</v>
      </c>
      <c r="BM15" s="100">
        <f t="shared" si="25"/>
        <v>1.0000000000000004</v>
      </c>
      <c r="BN15" s="100">
        <f t="shared" si="25"/>
        <v>1.0000000000000004</v>
      </c>
      <c r="BO15" s="100">
        <f t="shared" si="25"/>
        <v>1.0000000000000004</v>
      </c>
      <c r="BP15" s="100">
        <f t="shared" si="25"/>
        <v>1.0000000000000004</v>
      </c>
      <c r="BQ15" s="100">
        <f t="shared" si="25"/>
        <v>1.0000000000000004</v>
      </c>
    </row>
    <row r="16" spans="1:86" s="112" customFormat="1" ht="6" customHeight="1">
      <c r="A16" s="63"/>
      <c r="B16" s="101"/>
      <c r="C16" s="63"/>
      <c r="D16" s="63"/>
      <c r="E16" s="63"/>
      <c r="F16" s="63"/>
      <c r="G16" s="63"/>
      <c r="H16" s="63"/>
      <c r="I16" s="63"/>
      <c r="J16" s="63"/>
      <c r="K16" s="63"/>
      <c r="L16" s="63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3"/>
      <c r="AD16" s="63"/>
      <c r="AE16" s="63"/>
      <c r="AF16" s="63"/>
      <c r="AG16" s="63"/>
      <c r="AH16" s="63"/>
      <c r="AI16" s="63"/>
      <c r="AJ16" s="63"/>
      <c r="AK16" s="63"/>
      <c r="AL16" s="63"/>
      <c r="AM16" s="63"/>
      <c r="AN16" s="63"/>
      <c r="AO16" s="63"/>
      <c r="AP16" s="63"/>
      <c r="AQ16" s="63"/>
      <c r="AR16" s="63"/>
      <c r="AS16" s="63"/>
      <c r="AT16" s="63"/>
      <c r="AU16" s="63"/>
      <c r="AV16" s="63"/>
      <c r="AW16" s="63"/>
      <c r="AX16" s="63"/>
      <c r="AY16" s="63"/>
      <c r="AZ16" s="63"/>
      <c r="BA16" s="63"/>
      <c r="BB16" s="63"/>
      <c r="BC16" s="63"/>
      <c r="BD16" s="63"/>
      <c r="BE16" s="63"/>
      <c r="BF16" s="63"/>
      <c r="BG16" s="63"/>
      <c r="BH16" s="63"/>
      <c r="BI16" s="63"/>
      <c r="BJ16" s="63"/>
      <c r="BK16" s="63"/>
      <c r="BL16" s="63"/>
      <c r="BM16" s="63"/>
      <c r="BN16" s="63"/>
      <c r="BO16" s="63"/>
      <c r="BP16" s="63"/>
      <c r="BQ16" s="63"/>
    </row>
    <row r="17" spans="1:69" s="112" customFormat="1" ht="12.75" customHeight="1">
      <c r="A17" s="89" t="s">
        <v>63</v>
      </c>
      <c r="B17" s="608"/>
      <c r="C17" s="608"/>
      <c r="D17" s="103"/>
      <c r="E17" s="104"/>
      <c r="F17" s="104"/>
      <c r="G17" s="104"/>
      <c r="H17" s="104"/>
      <c r="I17" s="104"/>
      <c r="J17" s="625">
        <v>-0.08</v>
      </c>
      <c r="K17" s="625">
        <v>-7.0000000000000007E-2</v>
      </c>
      <c r="L17" s="625">
        <v>-0.06</v>
      </c>
      <c r="M17" s="625">
        <v>-0.05</v>
      </c>
      <c r="N17" s="625">
        <v>-3.5000000000000003E-2</v>
      </c>
      <c r="O17" s="625">
        <v>-0.02</v>
      </c>
      <c r="P17" s="625">
        <v>-0.01</v>
      </c>
      <c r="Q17" s="625">
        <v>0</v>
      </c>
      <c r="R17" s="625">
        <v>0</v>
      </c>
      <c r="S17" s="625">
        <v>0.01</v>
      </c>
      <c r="T17" s="625">
        <v>0.02</v>
      </c>
      <c r="U17" s="625">
        <v>0.03</v>
      </c>
      <c r="V17" s="625">
        <v>0.04</v>
      </c>
      <c r="W17" s="625">
        <v>0.05</v>
      </c>
      <c r="X17" s="625">
        <v>0.05</v>
      </c>
      <c r="Y17" s="625">
        <v>0.05</v>
      </c>
      <c r="Z17" s="625">
        <v>0.05</v>
      </c>
      <c r="AA17" s="625">
        <v>0.05</v>
      </c>
      <c r="AB17" s="625">
        <v>0.05</v>
      </c>
      <c r="AC17" s="625">
        <v>0.05</v>
      </c>
      <c r="AD17" s="625">
        <v>0.05</v>
      </c>
      <c r="AE17" s="625">
        <v>0.05</v>
      </c>
      <c r="AF17" s="625">
        <v>0.05</v>
      </c>
      <c r="AG17" s="625">
        <v>0.05</v>
      </c>
      <c r="AH17" s="625">
        <v>0.05</v>
      </c>
      <c r="AI17" s="625">
        <v>0.05</v>
      </c>
      <c r="AJ17" s="625">
        <v>0.05</v>
      </c>
      <c r="AK17" s="625">
        <v>0.05</v>
      </c>
      <c r="AL17" s="625">
        <v>0.05</v>
      </c>
      <c r="AM17" s="625">
        <v>0.05</v>
      </c>
      <c r="AN17" s="625">
        <v>0.05</v>
      </c>
      <c r="AO17" s="625">
        <v>0.05</v>
      </c>
      <c r="AP17" s="625">
        <v>0.05</v>
      </c>
      <c r="AQ17" s="625">
        <v>0.05</v>
      </c>
      <c r="AR17" s="625">
        <v>0.05</v>
      </c>
      <c r="AS17" s="625">
        <v>0.05</v>
      </c>
      <c r="AT17" s="625">
        <v>0.05</v>
      </c>
      <c r="AU17" s="625">
        <v>0.05</v>
      </c>
      <c r="AV17" s="105"/>
      <c r="AW17" s="105"/>
      <c r="AX17" s="105"/>
      <c r="AY17" s="105"/>
      <c r="AZ17" s="105"/>
      <c r="BA17" s="105"/>
      <c r="BB17" s="105"/>
      <c r="BC17" s="105"/>
      <c r="BD17" s="105"/>
      <c r="BE17" s="105"/>
      <c r="BF17" s="105"/>
      <c r="BG17" s="105"/>
      <c r="BH17" s="105"/>
      <c r="BI17" s="105"/>
      <c r="BJ17" s="105"/>
      <c r="BK17" s="105"/>
      <c r="BL17" s="105"/>
      <c r="BM17" s="105"/>
      <c r="BN17" s="105"/>
      <c r="BO17" s="105"/>
      <c r="BP17" s="105"/>
      <c r="BQ17" s="105"/>
    </row>
    <row r="18" spans="1:69" s="112" customFormat="1" ht="12.75" customHeight="1" outlineLevel="1">
      <c r="A18" s="83" t="s">
        <v>182</v>
      </c>
      <c r="B18" s="609">
        <f>+'Resid - Datos'!Q35</f>
        <v>2214.153944020356</v>
      </c>
      <c r="C18" s="610">
        <f>SUMPRODUCT(E14:CO14,E18:CO18)/C14</f>
        <v>2214.2646517175572</v>
      </c>
      <c r="D18" s="83"/>
      <c r="E18" s="83"/>
      <c r="F18" s="83"/>
      <c r="G18" s="83"/>
      <c r="H18" s="83"/>
      <c r="I18" s="83"/>
      <c r="J18" s="154">
        <f>+IF(J14=0,0,$B$18*(1+J17))</f>
        <v>2037.0216284987275</v>
      </c>
      <c r="K18" s="154">
        <f>+IF(K14=0,0,$B$18*(1+K17))</f>
        <v>2059.1631679389311</v>
      </c>
      <c r="L18" s="154">
        <f>+IF(L14=0,0,$B$18*(1+L17))</f>
        <v>2081.3047073791345</v>
      </c>
      <c r="M18" s="154">
        <f>+IF(M14=0,0,$B$18*(1+M17))</f>
        <v>2103.4462468193383</v>
      </c>
      <c r="N18" s="154">
        <f>+IF(N14=0,0,$B$18*(1+N17))</f>
        <v>2136.6585559796436</v>
      </c>
      <c r="O18" s="154">
        <f>+IF(O14=0,0,$B$18*(1+O17))</f>
        <v>2169.8708651399488</v>
      </c>
      <c r="P18" s="154">
        <f>+IF(P14=0,0,$B$18*(1+P17))</f>
        <v>2192.0124045801526</v>
      </c>
      <c r="Q18" s="154">
        <f>+IF(Q14=0,0,$B$18*(1+Q17))</f>
        <v>2214.153944020356</v>
      </c>
      <c r="R18" s="154">
        <f>+IF(R14=0,0,$B$18*(1+R17))</f>
        <v>2214.153944020356</v>
      </c>
      <c r="S18" s="154">
        <f>+IF(S14=0,0,$B$18*(1+S17))</f>
        <v>2236.2954834605594</v>
      </c>
      <c r="T18" s="154">
        <f>+IF(T14=0,0,$B$18*(1+T17))</f>
        <v>2258.4370229007632</v>
      </c>
      <c r="U18" s="154">
        <f>+IF(U14=0,0,$B$18*(1+U17))</f>
        <v>2280.5785623409665</v>
      </c>
      <c r="V18" s="154">
        <f>+IF(V14=0,0,$B$18*(1+V17))</f>
        <v>2302.7201017811703</v>
      </c>
      <c r="W18" s="154">
        <f>+IF(W14=0,0,$B$18*(1+W17))</f>
        <v>2324.8616412213737</v>
      </c>
      <c r="X18" s="154">
        <f>+IF(X14=0,0,$B$18*(1+X17))</f>
        <v>2324.8616412213737</v>
      </c>
      <c r="Y18" s="154">
        <f>+IF(Y14=0,0,$B$18*(1+Y17))</f>
        <v>2324.8616412213737</v>
      </c>
      <c r="Z18" s="154">
        <f>+IF(Z14=0,0,$B$18*(1+Z17))</f>
        <v>2324.8616412213737</v>
      </c>
      <c r="AA18" s="154">
        <f>+IF(AA14=0,0,$B$18*(1+AA17))</f>
        <v>2324.8616412213737</v>
      </c>
      <c r="AB18" s="154">
        <f>+IF(AB14=0,0,$B$18*(1+AB17))</f>
        <v>2324.8616412213737</v>
      </c>
      <c r="AC18" s="154">
        <f>+IF(AC14=0,0,$B$18*(1+AC17))</f>
        <v>2324.8616412213737</v>
      </c>
      <c r="AD18" s="154">
        <f>+IF(AD14=0,0,$B$18*(1+AD17))</f>
        <v>2324.8616412213737</v>
      </c>
      <c r="AE18" s="154">
        <f>+IF(AE14=0,0,$B$18*(1+AE17))</f>
        <v>2324.8616412213737</v>
      </c>
      <c r="AF18" s="154">
        <f>+IF(AF14=0,0,$B$18*(1+AF17))</f>
        <v>2324.8616412213737</v>
      </c>
      <c r="AG18" s="154">
        <f>+IF(AG14=0,0,$B$18*(1+AG17))</f>
        <v>2324.8616412213737</v>
      </c>
      <c r="AH18" s="154">
        <f>+IF(AH14=0,0,$B$18*(1+AH17))</f>
        <v>2324.8616412213737</v>
      </c>
      <c r="AI18" s="154">
        <f>+IF(AI14=0,0,$B$18*(1+AI17))</f>
        <v>2324.8616412213737</v>
      </c>
      <c r="AJ18" s="154">
        <f>+IF(AJ14=0,0,$B$18*(1+AJ17))</f>
        <v>2324.8616412213737</v>
      </c>
      <c r="AK18" s="154">
        <f>+IF(AK14=0,0,$B$18*(1+AK17))</f>
        <v>2324.8616412213737</v>
      </c>
      <c r="AL18" s="154">
        <f>+IF(AL14=0,0,$B$18*(1+AL17))</f>
        <v>2324.8616412213737</v>
      </c>
      <c r="AM18" s="154">
        <f>+IF(AM14=0,0,$B$18*(1+AM17))</f>
        <v>2324.8616412213737</v>
      </c>
      <c r="AN18" s="154">
        <f>+IF(AN14=0,0,$B$18*(1+AN17))</f>
        <v>2324.8616412213737</v>
      </c>
      <c r="AO18" s="154">
        <f>+IF(AO14=0,0,$B$18*(1+AO17))</f>
        <v>2324.8616412213737</v>
      </c>
      <c r="AP18" s="154">
        <f>+IF(AP14=0,0,$B$18*(1+AP17))</f>
        <v>2324.8616412213737</v>
      </c>
      <c r="AQ18" s="154">
        <f>+IF(AQ14=0,0,$B$18*(1+AQ17))</f>
        <v>2324.8616412213737</v>
      </c>
      <c r="AR18" s="154">
        <f>+IF(AR14=0,0,$B$18*(1+AR17))</f>
        <v>2324.8616412213737</v>
      </c>
      <c r="AS18" s="154">
        <f>+IF(AS14=0,0,$B$18*(1+AS17))</f>
        <v>2324.8616412213737</v>
      </c>
      <c r="AT18" s="154">
        <f>+IF(AT14=0,0,$B$18*(1+AT17))</f>
        <v>2324.8616412213737</v>
      </c>
      <c r="AU18" s="154">
        <f>+IF(AU14=0,0,$B$18*(1+AU17))</f>
        <v>2324.8616412213737</v>
      </c>
      <c r="AV18" s="154">
        <f>+IF(AV14=0,0,$B$18*(1+AV17))</f>
        <v>0</v>
      </c>
      <c r="AW18" s="154">
        <f>+IF(AW14=0,0,$B$18*(1+AW17))</f>
        <v>0</v>
      </c>
      <c r="AX18" s="154">
        <f>+IF(AX14=0,0,$B$18*(1+AX17))</f>
        <v>0</v>
      </c>
      <c r="AY18" s="154">
        <f>+IF(AY14=0,0,$B$18*(1+AY17))</f>
        <v>0</v>
      </c>
      <c r="AZ18" s="154">
        <f>+IF(AZ14=0,0,$B$18*(1+AZ17))</f>
        <v>0</v>
      </c>
      <c r="BA18" s="154">
        <f>+IF(BA14=0,0,$B$18*(1+BA17))</f>
        <v>0</v>
      </c>
      <c r="BB18" s="154">
        <f>+IF(BB14=0,0,$B$18*(1+BB17))</f>
        <v>0</v>
      </c>
      <c r="BC18" s="154">
        <f>+IF(BC14=0,0,$B$18*(1+BC17))</f>
        <v>0</v>
      </c>
      <c r="BD18" s="154">
        <f>+IF(BD14=0,0,$B$18*(1+BD17))</f>
        <v>0</v>
      </c>
      <c r="BE18" s="154">
        <f>+IF(BE14=0,0,$B$18*(1+BE17))</f>
        <v>0</v>
      </c>
      <c r="BF18" s="154">
        <f>+IF(BF14=0,0,$B$18*(1+BF17))</f>
        <v>0</v>
      </c>
      <c r="BG18" s="154">
        <f>+IF(BG14=0,0,$B$18*(1+BG17))</f>
        <v>0</v>
      </c>
      <c r="BH18" s="154">
        <f>+IF(BH14=0,0,$B$18*(1+BH17))</f>
        <v>0</v>
      </c>
      <c r="BI18" s="154">
        <f>+IF(BI14=0,0,$B$18*(1+BI17))</f>
        <v>0</v>
      </c>
      <c r="BJ18" s="154">
        <f>+IF(BJ14=0,0,$B$18*(1+BJ17))</f>
        <v>0</v>
      </c>
      <c r="BK18" s="154">
        <f>+IF(BK14=0,0,$B$18*(1+BK17))</f>
        <v>0</v>
      </c>
      <c r="BL18" s="154">
        <f>+IF(BL14=0,0,$B$18*(1+BL17))</f>
        <v>0</v>
      </c>
      <c r="BM18" s="154">
        <f>+IF(BM14=0,0,$B$18*(1+BM17))</f>
        <v>0</v>
      </c>
      <c r="BN18" s="154">
        <f>+IF(BN14=0,0,$B$18*(1+BN17))</f>
        <v>0</v>
      </c>
      <c r="BO18" s="154">
        <f>+IF(BO14=0,0,$B$18*(1+BO17))</f>
        <v>0</v>
      </c>
      <c r="BP18" s="154">
        <f>+IF(BP14=0,0,$B$18*(1+BP17))</f>
        <v>0</v>
      </c>
      <c r="BQ18" s="154">
        <f>+IF(BQ14=0,0,$B$18*(1+BQ17))</f>
        <v>0</v>
      </c>
    </row>
    <row r="19" spans="1:69" s="112" customFormat="1" ht="12.75" customHeight="1" outlineLevel="1">
      <c r="A19" s="87" t="s">
        <v>84</v>
      </c>
      <c r="B19" s="611">
        <f>+'Resid - Datos'!N35</f>
        <v>20000</v>
      </c>
      <c r="C19" s="612">
        <f>SUMPRODUCT(E14:CO14,E19:CO19)/C14</f>
        <v>20001.000000000004</v>
      </c>
      <c r="D19" s="87"/>
      <c r="E19" s="87"/>
      <c r="F19" s="87"/>
      <c r="G19" s="87"/>
      <c r="H19" s="87"/>
      <c r="I19" s="87"/>
      <c r="J19" s="155">
        <f>+IF(J14=0,0,$B$19*(1+J17))</f>
        <v>18400</v>
      </c>
      <c r="K19" s="155">
        <f>+IF(K14=0,0,$B$19*(1+K17))</f>
        <v>18600</v>
      </c>
      <c r="L19" s="155">
        <f>+IF(L14=0,0,$B$19*(1+L17))</f>
        <v>18800</v>
      </c>
      <c r="M19" s="155">
        <f>+IF(M14=0,0,$B$19*(1+M17))</f>
        <v>19000</v>
      </c>
      <c r="N19" s="155">
        <f>+IF(N14=0,0,$B$19*(1+N17))</f>
        <v>19300</v>
      </c>
      <c r="O19" s="155">
        <f>+IF(O14=0,0,$B$19*(1+O17))</f>
        <v>19600</v>
      </c>
      <c r="P19" s="155">
        <f>+IF(P14=0,0,$B$19*(1+P17))</f>
        <v>19800</v>
      </c>
      <c r="Q19" s="155">
        <f>+IF(Q14=0,0,$B$19*(1+Q17))</f>
        <v>20000</v>
      </c>
      <c r="R19" s="155">
        <f>+IF(R14=0,0,$B$19*(1+R17))</f>
        <v>20000</v>
      </c>
      <c r="S19" s="155">
        <f>+IF(S14=0,0,$B$19*(1+S17))</f>
        <v>20200</v>
      </c>
      <c r="T19" s="155">
        <f>+IF(T14=0,0,$B$19*(1+T17))</f>
        <v>20400</v>
      </c>
      <c r="U19" s="155">
        <f>+IF(U14=0,0,$B$19*(1+U17))</f>
        <v>20600</v>
      </c>
      <c r="V19" s="155">
        <f>+IF(V14=0,0,$B$19*(1+V17))</f>
        <v>20800</v>
      </c>
      <c r="W19" s="155">
        <f>+IF(W14=0,0,$B$19*(1+W17))</f>
        <v>21000</v>
      </c>
      <c r="X19" s="155">
        <f>+IF(X14=0,0,$B$19*(1+X17))</f>
        <v>21000</v>
      </c>
      <c r="Y19" s="155">
        <f>+IF(Y14=0,0,$B$19*(1+Y17))</f>
        <v>21000</v>
      </c>
      <c r="Z19" s="155">
        <f>+IF(Z14=0,0,$B$19*(1+Z17))</f>
        <v>21000</v>
      </c>
      <c r="AA19" s="155">
        <f>+IF(AA14=0,0,$B$19*(1+AA17))</f>
        <v>21000</v>
      </c>
      <c r="AB19" s="155">
        <f>+IF(AB14=0,0,$B$19*(1+AB17))</f>
        <v>21000</v>
      </c>
      <c r="AC19" s="155">
        <f>+IF(AC14=0,0,$B$19*(1+AC17))</f>
        <v>21000</v>
      </c>
      <c r="AD19" s="155">
        <f>+IF(AD14=0,0,$B$19*(1+AD17))</f>
        <v>21000</v>
      </c>
      <c r="AE19" s="155">
        <f>+IF(AE14=0,0,$B$19*(1+AE17))</f>
        <v>21000</v>
      </c>
      <c r="AF19" s="155">
        <f>+IF(AF14=0,0,$B$19*(1+AF17))</f>
        <v>21000</v>
      </c>
      <c r="AG19" s="155">
        <f>+IF(AG14=0,0,$B$19*(1+AG17))</f>
        <v>21000</v>
      </c>
      <c r="AH19" s="155">
        <f>+IF(AH14=0,0,$B$19*(1+AH17))</f>
        <v>21000</v>
      </c>
      <c r="AI19" s="155">
        <f>+IF(AI14=0,0,$B$19*(1+AI17))</f>
        <v>21000</v>
      </c>
      <c r="AJ19" s="155">
        <f>+IF(AJ14=0,0,$B$19*(1+AJ17))</f>
        <v>21000</v>
      </c>
      <c r="AK19" s="155">
        <f>+IF(AK14=0,0,$B$19*(1+AK17))</f>
        <v>21000</v>
      </c>
      <c r="AL19" s="155">
        <f>+IF(AL14=0,0,$B$19*(1+AL17))</f>
        <v>21000</v>
      </c>
      <c r="AM19" s="155">
        <f>+IF(AM14=0,0,$B$19*(1+AM17))</f>
        <v>21000</v>
      </c>
      <c r="AN19" s="155">
        <f>+IF(AN14=0,0,$B$19*(1+AN17))</f>
        <v>21000</v>
      </c>
      <c r="AO19" s="155">
        <f>+IF(AO14=0,0,$B$19*(1+AO17))</f>
        <v>21000</v>
      </c>
      <c r="AP19" s="155">
        <f>+IF(AP14=0,0,$B$19*(1+AP17))</f>
        <v>21000</v>
      </c>
      <c r="AQ19" s="155">
        <f>+IF(AQ14=0,0,$B$19*(1+AQ17))</f>
        <v>21000</v>
      </c>
      <c r="AR19" s="155">
        <f>+IF(AR14=0,0,$B$19*(1+AR17))</f>
        <v>21000</v>
      </c>
      <c r="AS19" s="155">
        <f>+IF(AS14=0,0,$B$19*(1+AS17))</f>
        <v>21000</v>
      </c>
      <c r="AT19" s="155">
        <f>+IF(AT14=0,0,$B$19*(1+AT17))</f>
        <v>21000</v>
      </c>
      <c r="AU19" s="155">
        <f>+IF(AU14=0,0,$B$19*(1+AU17))</f>
        <v>21000</v>
      </c>
      <c r="AV19" s="155">
        <f>+IF(AV14=0,0,$B$19*(1+AV17))</f>
        <v>0</v>
      </c>
      <c r="AW19" s="155">
        <f>+IF(AW14=0,0,$B$19*(1+AW17))</f>
        <v>0</v>
      </c>
      <c r="AX19" s="155">
        <f>+IF(AX14=0,0,$B$19*(1+AX17))</f>
        <v>0</v>
      </c>
      <c r="AY19" s="155">
        <f>+IF(AY14=0,0,$B$19*(1+AY17))</f>
        <v>0</v>
      </c>
      <c r="AZ19" s="155">
        <f>+IF(AZ14=0,0,$B$19*(1+AZ17))</f>
        <v>0</v>
      </c>
      <c r="BA19" s="155">
        <f>+IF(BA14=0,0,$B$19*(1+BA17))</f>
        <v>0</v>
      </c>
      <c r="BB19" s="155">
        <f>+IF(BB14=0,0,$B$19*(1+BB17))</f>
        <v>0</v>
      </c>
      <c r="BC19" s="155">
        <f>+IF(BC14=0,0,$B$19*(1+BC17))</f>
        <v>0</v>
      </c>
      <c r="BD19" s="155">
        <f>+IF(BD14=0,0,$B$19*(1+BD17))</f>
        <v>0</v>
      </c>
      <c r="BE19" s="155">
        <f>+IF(BE14=0,0,$B$19*(1+BE17))</f>
        <v>0</v>
      </c>
      <c r="BF19" s="155">
        <f>+IF(BF14=0,0,$B$19*(1+BF17))</f>
        <v>0</v>
      </c>
      <c r="BG19" s="155">
        <f>+IF(BG14=0,0,$B$19*(1+BG17))</f>
        <v>0</v>
      </c>
      <c r="BH19" s="155">
        <f>+IF(BH14=0,0,$B$19*(1+BH17))</f>
        <v>0</v>
      </c>
      <c r="BI19" s="155">
        <f>+IF(BI14=0,0,$B$19*(1+BI17))</f>
        <v>0</v>
      </c>
      <c r="BJ19" s="155">
        <f>+IF(BJ14=0,0,$B$19*(1+BJ17))</f>
        <v>0</v>
      </c>
      <c r="BK19" s="155">
        <f>+IF(BK14=0,0,$B$19*(1+BK17))</f>
        <v>0</v>
      </c>
      <c r="BL19" s="155">
        <f>+IF(BL14=0,0,$B$19*(1+BL17))</f>
        <v>0</v>
      </c>
      <c r="BM19" s="155">
        <f>+IF(BM14=0,0,$B$19*(1+BM17))</f>
        <v>0</v>
      </c>
      <c r="BN19" s="155">
        <f>+IF(BN14=0,0,$B$19*(1+BN17))</f>
        <v>0</v>
      </c>
      <c r="BO19" s="155">
        <f>+IF(BO14=0,0,$B$19*(1+BO17))</f>
        <v>0</v>
      </c>
      <c r="BP19" s="155">
        <f>+IF(BP14=0,0,$B$19*(1+BP17))</f>
        <v>0</v>
      </c>
      <c r="BQ19" s="155">
        <f>+IF(BQ14=0,0,$B$19*(1+BQ17))</f>
        <v>0</v>
      </c>
    </row>
    <row r="20" spans="1:69" s="112" customFormat="1" ht="6" customHeight="1">
      <c r="A20" s="63"/>
      <c r="B20" s="63"/>
      <c r="C20" s="63"/>
      <c r="D20" s="63"/>
      <c r="E20" s="63"/>
      <c r="F20" s="63"/>
      <c r="G20" s="63"/>
      <c r="H20" s="63"/>
      <c r="I20" s="63"/>
      <c r="J20" s="63"/>
      <c r="K20" s="63"/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  <c r="AE20" s="63"/>
      <c r="AF20" s="63"/>
      <c r="AG20" s="63"/>
      <c r="AH20" s="63"/>
      <c r="AI20" s="63"/>
      <c r="AJ20" s="63"/>
      <c r="AK20" s="63"/>
      <c r="AL20" s="63"/>
      <c r="AM20" s="63"/>
      <c r="AN20" s="63"/>
      <c r="AO20" s="63"/>
      <c r="AP20" s="63"/>
      <c r="AQ20" s="63"/>
      <c r="AR20" s="63"/>
      <c r="AS20" s="63"/>
      <c r="AT20" s="63"/>
      <c r="AU20" s="63"/>
      <c r="AV20" s="63"/>
      <c r="AW20" s="63"/>
      <c r="AX20" s="63"/>
      <c r="AY20" s="63"/>
      <c r="AZ20" s="63"/>
      <c r="BA20" s="63"/>
      <c r="BB20" s="63"/>
      <c r="BC20" s="63"/>
      <c r="BD20" s="63"/>
      <c r="BE20" s="63"/>
      <c r="BF20" s="63"/>
      <c r="BG20" s="63"/>
      <c r="BH20" s="63"/>
      <c r="BI20" s="63"/>
      <c r="BJ20" s="63"/>
      <c r="BK20" s="63"/>
      <c r="BL20" s="63"/>
      <c r="BM20" s="63"/>
      <c r="BN20" s="63"/>
      <c r="BO20" s="63"/>
      <c r="BP20" s="63"/>
      <c r="BQ20" s="63"/>
    </row>
    <row r="21" spans="1:69" s="112" customFormat="1" ht="12.75" customHeight="1">
      <c r="A21" s="62" t="s">
        <v>251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3"/>
      <c r="AJ21" s="63"/>
      <c r="AK21" s="63"/>
      <c r="AL21" s="63"/>
      <c r="AM21" s="63"/>
      <c r="AN21" s="63"/>
      <c r="AO21" s="63"/>
      <c r="AP21" s="63"/>
      <c r="AQ21" s="63"/>
      <c r="AR21" s="63"/>
      <c r="AS21" s="63"/>
      <c r="AT21" s="63"/>
      <c r="AU21" s="63"/>
      <c r="AV21" s="63"/>
      <c r="AW21" s="63"/>
      <c r="AX21" s="63"/>
      <c r="AY21" s="63"/>
      <c r="AZ21" s="63"/>
      <c r="BA21" s="63"/>
      <c r="BB21" s="63"/>
      <c r="BC21" s="63"/>
      <c r="BD21" s="63"/>
      <c r="BE21" s="63"/>
      <c r="BF21" s="63"/>
      <c r="BG21" s="63"/>
      <c r="BH21" s="63"/>
      <c r="BI21" s="63"/>
      <c r="BJ21" s="63"/>
      <c r="BK21" s="63"/>
      <c r="BL21" s="63"/>
      <c r="BM21" s="63"/>
      <c r="BN21" s="63"/>
      <c r="BO21" s="63"/>
      <c r="BP21" s="63"/>
      <c r="BQ21" s="63"/>
    </row>
    <row r="22" spans="1:69" s="628" customFormat="1" ht="12.75" customHeight="1" outlineLevel="2">
      <c r="A22" s="464" t="s">
        <v>238</v>
      </c>
      <c r="B22" s="613">
        <f>+'Resid - Datos'!K50</f>
        <v>-0.05</v>
      </c>
      <c r="C22" s="614"/>
      <c r="D22" s="627"/>
      <c r="E22" s="627"/>
      <c r="F22" s="627"/>
      <c r="G22" s="627"/>
      <c r="H22" s="627"/>
      <c r="I22" s="627"/>
      <c r="J22" s="624">
        <v>0.1</v>
      </c>
      <c r="K22" s="624">
        <v>0.1</v>
      </c>
      <c r="L22" s="624">
        <v>0.1</v>
      </c>
      <c r="M22" s="624">
        <v>0.05</v>
      </c>
      <c r="N22" s="624">
        <v>0</v>
      </c>
      <c r="O22" s="624">
        <v>0</v>
      </c>
      <c r="P22" s="624">
        <v>0</v>
      </c>
      <c r="Q22" s="624">
        <v>0</v>
      </c>
      <c r="R22" s="624">
        <v>0</v>
      </c>
      <c r="S22" s="624">
        <v>0</v>
      </c>
      <c r="T22" s="624">
        <v>0</v>
      </c>
      <c r="U22" s="624">
        <v>0</v>
      </c>
      <c r="V22" s="624">
        <v>0</v>
      </c>
      <c r="W22" s="624">
        <v>0</v>
      </c>
      <c r="X22" s="624">
        <v>0</v>
      </c>
      <c r="Y22" s="624">
        <v>0</v>
      </c>
      <c r="Z22" s="624">
        <v>0</v>
      </c>
      <c r="AA22" s="624">
        <v>0</v>
      </c>
      <c r="AB22" s="624">
        <v>0</v>
      </c>
      <c r="AC22" s="624">
        <v>0</v>
      </c>
      <c r="AD22" s="624">
        <v>0</v>
      </c>
      <c r="AE22" s="624">
        <v>0</v>
      </c>
      <c r="AF22" s="624">
        <v>0</v>
      </c>
      <c r="AG22" s="624">
        <v>0</v>
      </c>
      <c r="AH22" s="624">
        <v>0</v>
      </c>
      <c r="AI22" s="624">
        <v>0</v>
      </c>
      <c r="AJ22" s="624">
        <v>0</v>
      </c>
      <c r="AK22" s="624">
        <v>0</v>
      </c>
      <c r="AL22" s="624">
        <v>0</v>
      </c>
      <c r="AM22" s="624">
        <v>0</v>
      </c>
      <c r="AN22" s="624">
        <v>0</v>
      </c>
      <c r="AO22" s="624">
        <v>0</v>
      </c>
      <c r="AP22" s="624">
        <v>0</v>
      </c>
      <c r="AQ22" s="624">
        <v>0</v>
      </c>
      <c r="AR22" s="624">
        <v>0</v>
      </c>
      <c r="AS22" s="624">
        <v>0</v>
      </c>
      <c r="AT22" s="624">
        <v>0</v>
      </c>
      <c r="AU22" s="624">
        <v>0</v>
      </c>
      <c r="AV22" s="627"/>
      <c r="AW22" s="627"/>
      <c r="AX22" s="627"/>
      <c r="AY22" s="627"/>
      <c r="AZ22" s="627"/>
      <c r="BA22" s="627"/>
      <c r="BB22" s="627"/>
      <c r="BC22" s="627"/>
      <c r="BD22" s="627"/>
      <c r="BE22" s="627"/>
      <c r="BF22" s="627"/>
      <c r="BG22" s="627"/>
      <c r="BH22" s="627"/>
      <c r="BI22" s="627"/>
      <c r="BJ22" s="627"/>
      <c r="BK22" s="627"/>
      <c r="BL22" s="627"/>
      <c r="BM22" s="627"/>
      <c r="BN22" s="627"/>
      <c r="BO22" s="627"/>
      <c r="BP22" s="627"/>
      <c r="BQ22" s="627"/>
    </row>
    <row r="23" spans="1:69" s="112" customFormat="1" ht="12.75" customHeight="1" outlineLevel="2">
      <c r="A23" s="122" t="s">
        <v>239</v>
      </c>
      <c r="B23" s="615">
        <f>+'Resid - Datos'!L50</f>
        <v>0</v>
      </c>
      <c r="C23" s="616"/>
      <c r="J23" s="626">
        <f>100%-J22-J24</f>
        <v>0.4</v>
      </c>
      <c r="K23" s="626">
        <f t="shared" ref="K23:AU23" si="26">100%-K22-K24</f>
        <v>0.4</v>
      </c>
      <c r="L23" s="626">
        <f t="shared" si="26"/>
        <v>0.4</v>
      </c>
      <c r="M23" s="626">
        <f t="shared" si="26"/>
        <v>0.49999999999999994</v>
      </c>
      <c r="N23" s="626">
        <f t="shared" si="26"/>
        <v>0.55000000000000004</v>
      </c>
      <c r="O23" s="626">
        <f t="shared" si="26"/>
        <v>0.55000000000000004</v>
      </c>
      <c r="P23" s="626">
        <f t="shared" si="26"/>
        <v>0.6</v>
      </c>
      <c r="Q23" s="626">
        <f t="shared" si="26"/>
        <v>0.6</v>
      </c>
      <c r="R23" s="626">
        <f t="shared" si="26"/>
        <v>0.6</v>
      </c>
      <c r="S23" s="626">
        <f t="shared" si="26"/>
        <v>0.65</v>
      </c>
      <c r="T23" s="626">
        <f t="shared" si="26"/>
        <v>0.65</v>
      </c>
      <c r="U23" s="626">
        <f t="shared" si="26"/>
        <v>0.65</v>
      </c>
      <c r="V23" s="626">
        <f t="shared" si="26"/>
        <v>0.7</v>
      </c>
      <c r="W23" s="626">
        <f t="shared" si="26"/>
        <v>0.7</v>
      </c>
      <c r="X23" s="626">
        <f t="shared" si="26"/>
        <v>0.7</v>
      </c>
      <c r="Y23" s="626">
        <f t="shared" si="26"/>
        <v>0.75</v>
      </c>
      <c r="Z23" s="626">
        <f t="shared" si="26"/>
        <v>0.75</v>
      </c>
      <c r="AA23" s="626">
        <f t="shared" si="26"/>
        <v>0.75</v>
      </c>
      <c r="AB23" s="626">
        <f t="shared" si="26"/>
        <v>0.8</v>
      </c>
      <c r="AC23" s="626">
        <f t="shared" si="26"/>
        <v>0.8</v>
      </c>
      <c r="AD23" s="626">
        <f t="shared" si="26"/>
        <v>0.8</v>
      </c>
      <c r="AE23" s="626">
        <f t="shared" si="26"/>
        <v>0.85</v>
      </c>
      <c r="AF23" s="626">
        <f t="shared" si="26"/>
        <v>0.85</v>
      </c>
      <c r="AG23" s="626">
        <f t="shared" si="26"/>
        <v>0.85</v>
      </c>
      <c r="AH23" s="626">
        <f t="shared" si="26"/>
        <v>0.9</v>
      </c>
      <c r="AI23" s="626">
        <f t="shared" si="26"/>
        <v>0.9</v>
      </c>
      <c r="AJ23" s="626">
        <f t="shared" si="26"/>
        <v>0.9</v>
      </c>
      <c r="AK23" s="626">
        <f t="shared" si="26"/>
        <v>0.95</v>
      </c>
      <c r="AL23" s="626">
        <f t="shared" si="26"/>
        <v>0.95</v>
      </c>
      <c r="AM23" s="626">
        <f t="shared" si="26"/>
        <v>0.95</v>
      </c>
      <c r="AN23" s="626">
        <f t="shared" si="26"/>
        <v>1</v>
      </c>
      <c r="AO23" s="626">
        <f t="shared" si="26"/>
        <v>1</v>
      </c>
      <c r="AP23" s="626">
        <f t="shared" si="26"/>
        <v>1</v>
      </c>
      <c r="AQ23" s="626">
        <f t="shared" si="26"/>
        <v>1</v>
      </c>
      <c r="AR23" s="626">
        <f t="shared" si="26"/>
        <v>1</v>
      </c>
      <c r="AS23" s="626">
        <f t="shared" si="26"/>
        <v>1</v>
      </c>
      <c r="AT23" s="626">
        <f t="shared" si="26"/>
        <v>1</v>
      </c>
      <c r="AU23" s="626">
        <f t="shared" si="26"/>
        <v>1</v>
      </c>
      <c r="AV23" s="120"/>
      <c r="AW23" s="120"/>
      <c r="AX23" s="120"/>
      <c r="AY23" s="120"/>
      <c r="AZ23" s="120"/>
      <c r="BA23" s="120"/>
      <c r="BB23" s="120"/>
      <c r="BC23" s="120"/>
      <c r="BD23" s="120"/>
      <c r="BE23" s="120"/>
      <c r="BF23" s="120"/>
      <c r="BG23" s="120"/>
      <c r="BH23" s="120"/>
      <c r="BI23" s="120"/>
      <c r="BJ23" s="120"/>
    </row>
    <row r="24" spans="1:69" s="628" customFormat="1" ht="12.75" customHeight="1" outlineLevel="2">
      <c r="A24" s="465" t="s">
        <v>240</v>
      </c>
      <c r="B24" s="617">
        <f>+'Resid - Datos'!M50</f>
        <v>0.05</v>
      </c>
      <c r="C24" s="618"/>
      <c r="D24" s="629"/>
      <c r="E24" s="629"/>
      <c r="F24" s="629"/>
      <c r="G24" s="629"/>
      <c r="H24" s="629"/>
      <c r="I24" s="629"/>
      <c r="J24" s="630">
        <v>0.5</v>
      </c>
      <c r="K24" s="630">
        <v>0.5</v>
      </c>
      <c r="L24" s="630">
        <v>0.5</v>
      </c>
      <c r="M24" s="630">
        <v>0.45</v>
      </c>
      <c r="N24" s="630">
        <v>0.45</v>
      </c>
      <c r="O24" s="630">
        <v>0.45</v>
      </c>
      <c r="P24" s="630">
        <v>0.4</v>
      </c>
      <c r="Q24" s="630">
        <v>0.4</v>
      </c>
      <c r="R24" s="630">
        <v>0.4</v>
      </c>
      <c r="S24" s="630">
        <v>0.35</v>
      </c>
      <c r="T24" s="630">
        <v>0.35</v>
      </c>
      <c r="U24" s="630">
        <v>0.35</v>
      </c>
      <c r="V24" s="630">
        <v>0.3</v>
      </c>
      <c r="W24" s="630">
        <v>0.3</v>
      </c>
      <c r="X24" s="630">
        <v>0.3</v>
      </c>
      <c r="Y24" s="630">
        <v>0.25</v>
      </c>
      <c r="Z24" s="630">
        <v>0.25</v>
      </c>
      <c r="AA24" s="630">
        <v>0.25</v>
      </c>
      <c r="AB24" s="630">
        <v>0.2</v>
      </c>
      <c r="AC24" s="630">
        <v>0.2</v>
      </c>
      <c r="AD24" s="630">
        <v>0.2</v>
      </c>
      <c r="AE24" s="630">
        <v>0.15</v>
      </c>
      <c r="AF24" s="630">
        <v>0.15</v>
      </c>
      <c r="AG24" s="630">
        <v>0.15</v>
      </c>
      <c r="AH24" s="630">
        <v>0.1</v>
      </c>
      <c r="AI24" s="630">
        <v>0.1</v>
      </c>
      <c r="AJ24" s="630">
        <v>0.1</v>
      </c>
      <c r="AK24" s="630">
        <v>0.05</v>
      </c>
      <c r="AL24" s="630">
        <v>0.05</v>
      </c>
      <c r="AM24" s="630">
        <v>0.05</v>
      </c>
      <c r="AN24" s="630">
        <v>0</v>
      </c>
      <c r="AO24" s="630">
        <v>0</v>
      </c>
      <c r="AP24" s="630">
        <v>0</v>
      </c>
      <c r="AQ24" s="630">
        <v>0</v>
      </c>
      <c r="AR24" s="630">
        <v>0</v>
      </c>
      <c r="AS24" s="630">
        <v>0</v>
      </c>
      <c r="AT24" s="630">
        <v>0</v>
      </c>
      <c r="AU24" s="630">
        <v>0</v>
      </c>
      <c r="AV24" s="629"/>
      <c r="AW24" s="629"/>
      <c r="AX24" s="629"/>
      <c r="AY24" s="629"/>
      <c r="AZ24" s="629"/>
      <c r="BA24" s="629"/>
      <c r="BB24" s="629"/>
      <c r="BC24" s="629"/>
      <c r="BD24" s="629"/>
      <c r="BE24" s="629"/>
      <c r="BF24" s="629"/>
      <c r="BG24" s="629"/>
      <c r="BH24" s="629"/>
      <c r="BI24" s="629"/>
      <c r="BJ24" s="629"/>
      <c r="BK24" s="629"/>
      <c r="BL24" s="629"/>
      <c r="BM24" s="629"/>
      <c r="BN24" s="629"/>
      <c r="BO24" s="629"/>
      <c r="BP24" s="629"/>
      <c r="BQ24" s="629"/>
    </row>
    <row r="25" spans="1:69" s="112" customFormat="1" ht="12.75" customHeight="1">
      <c r="A25" s="63"/>
      <c r="B25" s="63"/>
      <c r="C25" s="63"/>
      <c r="D25" s="63"/>
      <c r="E25" s="63"/>
      <c r="F25" s="63"/>
      <c r="G25" s="63"/>
      <c r="H25" s="63"/>
      <c r="I25" s="63"/>
      <c r="J25" s="257"/>
      <c r="K25" s="63"/>
      <c r="L25" s="63"/>
      <c r="M25" s="63"/>
      <c r="N25" s="63"/>
      <c r="O25" s="63"/>
      <c r="P25" s="63"/>
      <c r="Q25" s="63"/>
      <c r="R25" s="63"/>
      <c r="S25" s="63"/>
      <c r="T25" s="63"/>
      <c r="U25" s="63"/>
      <c r="V25" s="63"/>
      <c r="W25" s="63"/>
      <c r="X25" s="63"/>
      <c r="Y25" s="63"/>
      <c r="Z25" s="63"/>
      <c r="AA25" s="63"/>
      <c r="AB25" s="63"/>
      <c r="AC25" s="63"/>
      <c r="AD25" s="63"/>
      <c r="AE25" s="63"/>
      <c r="AF25" s="63"/>
      <c r="AG25" s="63"/>
      <c r="AH25" s="63"/>
      <c r="AI25" s="63"/>
      <c r="AJ25" s="63"/>
      <c r="AK25" s="63"/>
      <c r="AL25" s="63"/>
      <c r="AM25" s="63"/>
      <c r="AN25" s="63"/>
      <c r="AO25" s="63"/>
      <c r="AP25" s="63"/>
      <c r="AQ25" s="63"/>
      <c r="AR25" s="63"/>
      <c r="AS25" s="63"/>
      <c r="AT25" s="63"/>
      <c r="AU25" s="63"/>
      <c r="AV25" s="63"/>
      <c r="AW25" s="63"/>
      <c r="AX25" s="63"/>
      <c r="AY25" s="63"/>
      <c r="AZ25" s="63"/>
      <c r="BA25" s="63"/>
      <c r="BB25" s="63"/>
      <c r="BC25" s="63"/>
      <c r="BD25" s="63"/>
      <c r="BE25" s="63"/>
      <c r="BF25" s="63"/>
      <c r="BG25" s="63"/>
      <c r="BH25" s="63"/>
      <c r="BI25" s="63"/>
      <c r="BJ25" s="63"/>
      <c r="BK25" s="63"/>
      <c r="BL25" s="63"/>
      <c r="BM25" s="63"/>
      <c r="BN25" s="63"/>
      <c r="BO25" s="63"/>
      <c r="BP25" s="63"/>
      <c r="BQ25" s="63"/>
    </row>
    <row r="26" spans="1:69" s="84" customFormat="1" ht="12.75" customHeight="1">
      <c r="A26" s="102" t="s">
        <v>44</v>
      </c>
    </row>
    <row r="27" spans="1:69" s="84" customFormat="1" ht="12.75" customHeight="1" outlineLevel="1">
      <c r="A27" s="532" t="s">
        <v>290</v>
      </c>
      <c r="B27" s="608"/>
      <c r="C27" s="619">
        <f t="shared" ref="C27:C39" si="27">SUM(D27:CO27)</f>
        <v>1</v>
      </c>
      <c r="D27" s="650"/>
      <c r="E27" s="650"/>
      <c r="F27" s="650"/>
      <c r="G27" s="650"/>
      <c r="H27" s="650"/>
      <c r="I27" s="650"/>
      <c r="J27" s="650"/>
      <c r="K27" s="650"/>
      <c r="L27" s="650"/>
      <c r="M27" s="650"/>
      <c r="N27" s="648">
        <v>0.5</v>
      </c>
      <c r="O27" s="648">
        <v>0.5</v>
      </c>
      <c r="P27" s="650"/>
      <c r="Q27" s="650"/>
      <c r="R27" s="650"/>
      <c r="S27" s="650"/>
      <c r="T27" s="650"/>
      <c r="U27" s="650"/>
      <c r="V27" s="650"/>
      <c r="W27" s="650"/>
      <c r="X27" s="650"/>
      <c r="Y27" s="650"/>
      <c r="Z27" s="650"/>
      <c r="AA27" s="650"/>
      <c r="AB27" s="650"/>
      <c r="AC27" s="650"/>
      <c r="AD27" s="650"/>
      <c r="AE27" s="650"/>
      <c r="AF27" s="650"/>
      <c r="AG27" s="650"/>
      <c r="AH27" s="650"/>
      <c r="AI27" s="650"/>
      <c r="AJ27" s="650"/>
      <c r="AK27" s="650"/>
      <c r="AL27" s="650"/>
      <c r="AM27" s="650"/>
      <c r="AN27" s="650"/>
      <c r="AO27" s="650"/>
      <c r="AP27" s="650"/>
      <c r="AQ27" s="650"/>
      <c r="AR27" s="650"/>
      <c r="AS27" s="650"/>
      <c r="AT27" s="650"/>
      <c r="AU27" s="650"/>
      <c r="AV27" s="650"/>
      <c r="AW27" s="650"/>
      <c r="AX27" s="650"/>
      <c r="AY27" s="650"/>
      <c r="AZ27" s="650"/>
      <c r="BA27" s="650"/>
      <c r="BB27" s="650"/>
      <c r="BC27" s="650"/>
      <c r="BD27" s="650"/>
      <c r="BE27" s="650"/>
      <c r="BF27" s="650"/>
      <c r="BG27" s="650"/>
      <c r="BH27" s="650"/>
      <c r="BI27" s="650"/>
      <c r="BJ27" s="650"/>
      <c r="BK27" s="650"/>
      <c r="BL27" s="650"/>
      <c r="BM27" s="650"/>
      <c r="BN27" s="650"/>
      <c r="BO27" s="650"/>
      <c r="BP27" s="650"/>
      <c r="BQ27" s="650"/>
    </row>
    <row r="28" spans="1:69" s="84" customFormat="1" ht="12.75" customHeight="1" outlineLevel="2">
      <c r="A28" s="82" t="s">
        <v>256</v>
      </c>
      <c r="B28" s="601"/>
      <c r="C28" s="601">
        <f t="shared" si="27"/>
        <v>0</v>
      </c>
      <c r="D28" s="651"/>
      <c r="E28" s="651"/>
      <c r="F28" s="651"/>
      <c r="G28" s="651"/>
      <c r="H28" s="651"/>
      <c r="I28" s="651"/>
      <c r="J28" s="651"/>
      <c r="K28" s="651"/>
      <c r="L28" s="651"/>
      <c r="M28" s="651"/>
      <c r="N28" s="651"/>
      <c r="O28" s="651"/>
      <c r="P28" s="652">
        <v>0</v>
      </c>
      <c r="Q28" s="652">
        <v>0</v>
      </c>
      <c r="R28" s="652">
        <v>0</v>
      </c>
      <c r="S28" s="652">
        <v>0</v>
      </c>
      <c r="T28" s="652">
        <v>0</v>
      </c>
      <c r="U28" s="652">
        <v>0</v>
      </c>
      <c r="V28" s="652">
        <v>0</v>
      </c>
      <c r="W28" s="652">
        <v>0</v>
      </c>
      <c r="X28" s="652">
        <v>0</v>
      </c>
      <c r="Y28" s="652">
        <v>0</v>
      </c>
      <c r="Z28" s="652">
        <v>0</v>
      </c>
      <c r="AA28" s="652">
        <v>0</v>
      </c>
      <c r="AB28" s="652">
        <v>0</v>
      </c>
      <c r="AC28" s="652">
        <v>0</v>
      </c>
      <c r="AD28" s="652">
        <v>0</v>
      </c>
      <c r="AE28" s="652">
        <v>0</v>
      </c>
      <c r="AF28" s="652">
        <v>0</v>
      </c>
      <c r="AG28" s="652">
        <v>0</v>
      </c>
      <c r="AH28" s="652">
        <v>0</v>
      </c>
      <c r="AI28" s="652">
        <v>0</v>
      </c>
      <c r="AJ28" s="652">
        <v>0</v>
      </c>
      <c r="AK28" s="652">
        <v>0</v>
      </c>
      <c r="AL28" s="652">
        <v>0</v>
      </c>
      <c r="AM28" s="652">
        <v>0</v>
      </c>
      <c r="AN28" s="652"/>
      <c r="AO28" s="652"/>
      <c r="AP28" s="652"/>
      <c r="AQ28" s="652"/>
      <c r="AR28" s="652"/>
      <c r="AS28" s="652"/>
      <c r="AT28" s="652"/>
      <c r="AU28" s="652"/>
      <c r="AV28" s="652"/>
      <c r="AW28" s="652"/>
      <c r="AX28" s="652"/>
      <c r="AY28" s="652"/>
      <c r="AZ28" s="652"/>
      <c r="BA28" s="652"/>
      <c r="BB28" s="652"/>
      <c r="BC28" s="652"/>
      <c r="BD28" s="652"/>
      <c r="BE28" s="652"/>
      <c r="BF28" s="651"/>
      <c r="BG28" s="651"/>
      <c r="BH28" s="651"/>
      <c r="BI28" s="651"/>
      <c r="BJ28" s="651"/>
      <c r="BK28" s="651"/>
      <c r="BL28" s="651"/>
      <c r="BM28" s="651"/>
      <c r="BN28" s="651"/>
      <c r="BO28" s="651"/>
      <c r="BP28" s="651"/>
      <c r="BQ28" s="651"/>
    </row>
    <row r="29" spans="1:69" s="84" customFormat="1" ht="12.75" customHeight="1" outlineLevel="2">
      <c r="A29" s="84" t="s">
        <v>257</v>
      </c>
      <c r="B29" s="603"/>
      <c r="C29" s="603">
        <f t="shared" si="27"/>
        <v>0</v>
      </c>
      <c r="D29" s="653"/>
      <c r="E29" s="653"/>
      <c r="F29" s="653"/>
      <c r="G29" s="653"/>
      <c r="H29" s="653"/>
      <c r="I29" s="653"/>
      <c r="J29" s="653"/>
      <c r="K29" s="653"/>
      <c r="L29" s="653"/>
      <c r="M29" s="653"/>
      <c r="N29" s="653"/>
      <c r="O29" s="653"/>
      <c r="P29" s="654">
        <v>0</v>
      </c>
      <c r="Q29" s="654">
        <v>0</v>
      </c>
      <c r="R29" s="654">
        <v>0</v>
      </c>
      <c r="S29" s="654">
        <v>0</v>
      </c>
      <c r="T29" s="654">
        <v>0</v>
      </c>
      <c r="U29" s="654">
        <v>0</v>
      </c>
      <c r="V29" s="654">
        <v>0</v>
      </c>
      <c r="W29" s="654">
        <v>0</v>
      </c>
      <c r="X29" s="654">
        <v>0</v>
      </c>
      <c r="Y29" s="654">
        <v>0</v>
      </c>
      <c r="Z29" s="654">
        <v>0</v>
      </c>
      <c r="AA29" s="654">
        <v>0</v>
      </c>
      <c r="AB29" s="654">
        <v>0</v>
      </c>
      <c r="AC29" s="654">
        <v>0</v>
      </c>
      <c r="AD29" s="654">
        <v>0</v>
      </c>
      <c r="AE29" s="654">
        <v>0</v>
      </c>
      <c r="AF29" s="654">
        <v>0</v>
      </c>
      <c r="AG29" s="654">
        <v>0</v>
      </c>
      <c r="AH29" s="654">
        <v>0</v>
      </c>
      <c r="AI29" s="654">
        <v>0</v>
      </c>
      <c r="AJ29" s="654">
        <v>0</v>
      </c>
      <c r="AK29" s="654">
        <v>0</v>
      </c>
      <c r="AL29" s="654">
        <v>0</v>
      </c>
      <c r="AM29" s="654">
        <v>0</v>
      </c>
      <c r="AN29" s="654">
        <v>0</v>
      </c>
      <c r="AO29" s="654">
        <v>0</v>
      </c>
      <c r="AP29" s="654">
        <v>0</v>
      </c>
      <c r="AQ29" s="654">
        <v>0</v>
      </c>
      <c r="AR29" s="654">
        <v>0</v>
      </c>
      <c r="AS29" s="654">
        <v>0</v>
      </c>
      <c r="AT29" s="654"/>
      <c r="AU29" s="654"/>
      <c r="AV29" s="654"/>
      <c r="AW29" s="654"/>
      <c r="AX29" s="654"/>
      <c r="AY29" s="654"/>
      <c r="AZ29" s="654"/>
      <c r="BA29" s="654"/>
      <c r="BB29" s="654"/>
      <c r="BC29" s="654"/>
      <c r="BD29" s="654"/>
      <c r="BE29" s="654"/>
      <c r="BF29" s="653"/>
      <c r="BG29" s="653"/>
      <c r="BH29" s="653"/>
      <c r="BI29" s="653"/>
      <c r="BJ29" s="653"/>
      <c r="BK29" s="653"/>
      <c r="BL29" s="653"/>
      <c r="BM29" s="653"/>
      <c r="BN29" s="653"/>
      <c r="BO29" s="653"/>
      <c r="BP29" s="653"/>
      <c r="BQ29" s="653"/>
    </row>
    <row r="30" spans="1:69" s="84" customFormat="1" ht="12.75" customHeight="1" outlineLevel="2">
      <c r="A30" s="84" t="s">
        <v>258</v>
      </c>
      <c r="B30" s="603"/>
      <c r="C30" s="603">
        <f t="shared" si="27"/>
        <v>0</v>
      </c>
      <c r="D30" s="653"/>
      <c r="E30" s="653"/>
      <c r="F30" s="653"/>
      <c r="G30" s="653"/>
      <c r="H30" s="653"/>
      <c r="I30" s="653"/>
      <c r="J30" s="653"/>
      <c r="K30" s="653"/>
      <c r="L30" s="653"/>
      <c r="M30" s="653"/>
      <c r="N30" s="653"/>
      <c r="O30" s="653"/>
      <c r="P30" s="654"/>
      <c r="Q30" s="654"/>
      <c r="R30" s="654"/>
      <c r="S30" s="654"/>
      <c r="T30" s="654"/>
      <c r="U30" s="654"/>
      <c r="V30" s="654"/>
      <c r="W30" s="654"/>
      <c r="X30" s="654"/>
      <c r="Y30" s="654"/>
      <c r="Z30" s="654"/>
      <c r="AA30" s="654"/>
      <c r="AB30" s="654"/>
      <c r="AC30" s="654"/>
      <c r="AD30" s="654"/>
      <c r="AE30" s="654"/>
      <c r="AF30" s="654"/>
      <c r="AG30" s="654"/>
      <c r="AH30" s="654">
        <v>0</v>
      </c>
      <c r="AI30" s="654">
        <v>0</v>
      </c>
      <c r="AJ30" s="654">
        <v>0</v>
      </c>
      <c r="AK30" s="654">
        <v>0</v>
      </c>
      <c r="AL30" s="654">
        <v>0</v>
      </c>
      <c r="AM30" s="654">
        <v>0</v>
      </c>
      <c r="AN30" s="654">
        <v>0</v>
      </c>
      <c r="AO30" s="654">
        <v>0</v>
      </c>
      <c r="AP30" s="654">
        <v>0</v>
      </c>
      <c r="AQ30" s="654">
        <v>0</v>
      </c>
      <c r="AR30" s="654">
        <v>0</v>
      </c>
      <c r="AS30" s="654">
        <v>0</v>
      </c>
      <c r="AT30" s="654">
        <v>0</v>
      </c>
      <c r="AU30" s="654">
        <v>0</v>
      </c>
      <c r="AV30" s="654">
        <v>0</v>
      </c>
      <c r="AW30" s="654">
        <v>0</v>
      </c>
      <c r="AX30" s="654">
        <v>0</v>
      </c>
      <c r="AY30" s="654">
        <v>0</v>
      </c>
      <c r="AZ30" s="654"/>
      <c r="BA30" s="654"/>
      <c r="BB30" s="654"/>
      <c r="BC30" s="654"/>
      <c r="BD30" s="654"/>
      <c r="BE30" s="654"/>
      <c r="BF30" s="653"/>
      <c r="BG30" s="653"/>
      <c r="BH30" s="653"/>
      <c r="BI30" s="653"/>
      <c r="BJ30" s="653"/>
      <c r="BK30" s="653"/>
      <c r="BL30" s="653"/>
      <c r="BM30" s="653"/>
      <c r="BN30" s="653"/>
      <c r="BO30" s="653"/>
      <c r="BP30" s="653"/>
      <c r="BQ30" s="653"/>
    </row>
    <row r="31" spans="1:69" s="84" customFormat="1" ht="12.75" customHeight="1" outlineLevel="2">
      <c r="A31" s="84" t="s">
        <v>259</v>
      </c>
      <c r="B31" s="603"/>
      <c r="C31" s="603">
        <f t="shared" si="27"/>
        <v>0</v>
      </c>
      <c r="D31" s="653"/>
      <c r="E31" s="653"/>
      <c r="F31" s="653"/>
      <c r="G31" s="653"/>
      <c r="H31" s="653"/>
      <c r="I31" s="653"/>
      <c r="J31" s="653"/>
      <c r="K31" s="653"/>
      <c r="L31" s="653"/>
      <c r="M31" s="653"/>
      <c r="N31" s="653"/>
      <c r="O31" s="653"/>
      <c r="P31" s="654"/>
      <c r="Q31" s="654"/>
      <c r="R31" s="654"/>
      <c r="S31" s="654"/>
      <c r="T31" s="654"/>
      <c r="U31" s="654"/>
      <c r="V31" s="654"/>
      <c r="W31" s="654"/>
      <c r="X31" s="654"/>
      <c r="Y31" s="654"/>
      <c r="Z31" s="654"/>
      <c r="AA31" s="654"/>
      <c r="AB31" s="654"/>
      <c r="AC31" s="654"/>
      <c r="AD31" s="654"/>
      <c r="AE31" s="654"/>
      <c r="AF31" s="654"/>
      <c r="AG31" s="654"/>
      <c r="AH31" s="654">
        <v>0</v>
      </c>
      <c r="AI31" s="654">
        <v>0</v>
      </c>
      <c r="AJ31" s="654">
        <v>0</v>
      </c>
      <c r="AK31" s="654">
        <v>0</v>
      </c>
      <c r="AL31" s="654">
        <v>0</v>
      </c>
      <c r="AM31" s="654">
        <v>0</v>
      </c>
      <c r="AN31" s="654">
        <v>0</v>
      </c>
      <c r="AO31" s="654">
        <v>0</v>
      </c>
      <c r="AP31" s="654">
        <v>0</v>
      </c>
      <c r="AQ31" s="654">
        <v>0</v>
      </c>
      <c r="AR31" s="654">
        <v>0</v>
      </c>
      <c r="AS31" s="654">
        <v>0</v>
      </c>
      <c r="AT31" s="654">
        <v>0</v>
      </c>
      <c r="AU31" s="654">
        <v>0</v>
      </c>
      <c r="AV31" s="654">
        <v>0</v>
      </c>
      <c r="AW31" s="654">
        <v>0</v>
      </c>
      <c r="AX31" s="654">
        <v>0</v>
      </c>
      <c r="AY31" s="654">
        <v>0</v>
      </c>
      <c r="AZ31" s="654">
        <v>0</v>
      </c>
      <c r="BA31" s="654">
        <v>0</v>
      </c>
      <c r="BB31" s="654">
        <v>0</v>
      </c>
      <c r="BC31" s="654">
        <v>0</v>
      </c>
      <c r="BD31" s="654">
        <v>0</v>
      </c>
      <c r="BE31" s="654">
        <v>0</v>
      </c>
      <c r="BF31" s="653"/>
      <c r="BG31" s="653"/>
      <c r="BH31" s="653"/>
      <c r="BI31" s="653"/>
      <c r="BJ31" s="653"/>
      <c r="BK31" s="653"/>
      <c r="BL31" s="653"/>
      <c r="BM31" s="653"/>
      <c r="BN31" s="653"/>
      <c r="BO31" s="653"/>
      <c r="BP31" s="653"/>
      <c r="BQ31" s="653"/>
    </row>
    <row r="32" spans="1:69" s="84" customFormat="1" ht="12.75" customHeight="1" outlineLevel="2">
      <c r="A32" s="82" t="s">
        <v>260</v>
      </c>
      <c r="B32" s="601"/>
      <c r="C32" s="601">
        <f t="shared" si="27"/>
        <v>1</v>
      </c>
      <c r="D32" s="651"/>
      <c r="E32" s="651"/>
      <c r="F32" s="651"/>
      <c r="G32" s="651"/>
      <c r="H32" s="651"/>
      <c r="I32" s="651"/>
      <c r="J32" s="651"/>
      <c r="K32" s="651"/>
      <c r="L32" s="651"/>
      <c r="M32" s="651"/>
      <c r="N32" s="651"/>
      <c r="O32" s="651"/>
      <c r="P32" s="624">
        <v>0.2</v>
      </c>
      <c r="Q32" s="624">
        <v>0.2</v>
      </c>
      <c r="R32" s="624">
        <v>0.2</v>
      </c>
      <c r="S32" s="624">
        <v>0.1</v>
      </c>
      <c r="T32" s="624">
        <v>0.1</v>
      </c>
      <c r="U32" s="652"/>
      <c r="V32" s="652"/>
      <c r="W32" s="652"/>
      <c r="X32" s="652"/>
      <c r="Y32" s="652"/>
      <c r="Z32" s="652"/>
      <c r="AA32" s="652"/>
      <c r="AB32" s="652"/>
      <c r="AC32" s="652"/>
      <c r="AD32" s="652"/>
      <c r="AE32" s="652"/>
      <c r="AF32" s="652"/>
      <c r="AG32" s="652"/>
      <c r="AH32" s="652"/>
      <c r="AI32" s="652"/>
      <c r="AJ32" s="652"/>
      <c r="AK32" s="652"/>
      <c r="AL32" s="624">
        <v>0.1</v>
      </c>
      <c r="AM32" s="624">
        <v>0.1</v>
      </c>
      <c r="AN32" s="652"/>
      <c r="AO32" s="652"/>
      <c r="AP32" s="652"/>
      <c r="AQ32" s="652"/>
      <c r="AR32" s="652"/>
      <c r="AS32" s="652"/>
      <c r="AT32" s="652"/>
      <c r="AU32" s="652"/>
      <c r="AV32" s="652"/>
      <c r="AW32" s="652"/>
      <c r="AX32" s="652"/>
      <c r="AY32" s="652"/>
      <c r="AZ32" s="652"/>
      <c r="BA32" s="652"/>
      <c r="BB32" s="652"/>
      <c r="BC32" s="652"/>
      <c r="BD32" s="652"/>
      <c r="BE32" s="652"/>
      <c r="BF32" s="651"/>
      <c r="BG32" s="651"/>
      <c r="BH32" s="651"/>
      <c r="BI32" s="651"/>
      <c r="BJ32" s="651"/>
      <c r="BK32" s="651"/>
      <c r="BL32" s="651"/>
      <c r="BM32" s="651"/>
      <c r="BN32" s="651"/>
      <c r="BO32" s="651"/>
      <c r="BP32" s="651"/>
      <c r="BQ32" s="651"/>
    </row>
    <row r="33" spans="1:86" s="84" customFormat="1" ht="12.75" customHeight="1" outlineLevel="2">
      <c r="A33" s="84" t="s">
        <v>261</v>
      </c>
      <c r="B33" s="603"/>
      <c r="C33" s="603">
        <f t="shared" si="27"/>
        <v>1</v>
      </c>
      <c r="D33" s="653"/>
      <c r="E33" s="653"/>
      <c r="F33" s="653"/>
      <c r="G33" s="653"/>
      <c r="H33" s="653"/>
      <c r="I33" s="653"/>
      <c r="J33" s="653"/>
      <c r="K33" s="653"/>
      <c r="L33" s="653"/>
      <c r="M33" s="653"/>
      <c r="N33" s="653"/>
      <c r="O33" s="653"/>
      <c r="P33" s="649">
        <v>0.2</v>
      </c>
      <c r="Q33" s="649">
        <v>0.2</v>
      </c>
      <c r="R33" s="649">
        <v>0.2</v>
      </c>
      <c r="S33" s="649">
        <v>0.1</v>
      </c>
      <c r="T33" s="649">
        <v>0.1</v>
      </c>
      <c r="U33" s="654"/>
      <c r="V33" s="654"/>
      <c r="W33" s="654"/>
      <c r="X33" s="654"/>
      <c r="Y33" s="654"/>
      <c r="Z33" s="654"/>
      <c r="AA33" s="654"/>
      <c r="AB33" s="654"/>
      <c r="AC33" s="654"/>
      <c r="AD33" s="654"/>
      <c r="AE33" s="654"/>
      <c r="AF33" s="654"/>
      <c r="AG33" s="654"/>
      <c r="AH33" s="654"/>
      <c r="AI33" s="654"/>
      <c r="AJ33" s="654"/>
      <c r="AK33" s="654"/>
      <c r="AL33" s="654"/>
      <c r="AM33" s="654"/>
      <c r="AN33" s="654"/>
      <c r="AO33" s="654"/>
      <c r="AP33" s="654"/>
      <c r="AQ33" s="654"/>
      <c r="AR33" s="649">
        <v>0.1</v>
      </c>
      <c r="AS33" s="649">
        <v>0.1</v>
      </c>
      <c r="AT33" s="654"/>
      <c r="AU33" s="654"/>
      <c r="AV33" s="654"/>
      <c r="AW33" s="654"/>
      <c r="AX33" s="654"/>
      <c r="AY33" s="654"/>
      <c r="AZ33" s="654"/>
      <c r="BA33" s="654"/>
      <c r="BB33" s="654"/>
      <c r="BC33" s="654"/>
      <c r="BD33" s="654"/>
      <c r="BE33" s="654"/>
      <c r="BF33" s="653"/>
      <c r="BG33" s="653"/>
      <c r="BH33" s="653"/>
      <c r="BI33" s="653"/>
      <c r="BJ33" s="653"/>
      <c r="BK33" s="653"/>
      <c r="BL33" s="653"/>
      <c r="BM33" s="653"/>
      <c r="BN33" s="653"/>
      <c r="BO33" s="653"/>
      <c r="BP33" s="653"/>
      <c r="BQ33" s="653"/>
    </row>
    <row r="34" spans="1:86" s="84" customFormat="1" ht="12.75" customHeight="1" outlineLevel="2">
      <c r="A34" s="84" t="s">
        <v>262</v>
      </c>
      <c r="B34" s="603"/>
      <c r="C34" s="603">
        <f t="shared" si="27"/>
        <v>1</v>
      </c>
      <c r="D34" s="653"/>
      <c r="E34" s="653"/>
      <c r="F34" s="653"/>
      <c r="G34" s="653"/>
      <c r="H34" s="653"/>
      <c r="I34" s="653"/>
      <c r="J34" s="653"/>
      <c r="K34" s="653"/>
      <c r="L34" s="653"/>
      <c r="M34" s="653"/>
      <c r="N34" s="653"/>
      <c r="O34" s="653"/>
      <c r="P34" s="654"/>
      <c r="Q34" s="654"/>
      <c r="R34" s="654"/>
      <c r="S34" s="654"/>
      <c r="T34" s="654"/>
      <c r="U34" s="654"/>
      <c r="V34" s="654"/>
      <c r="W34" s="654"/>
      <c r="X34" s="654"/>
      <c r="Y34" s="654"/>
      <c r="Z34" s="654"/>
      <c r="AA34" s="654"/>
      <c r="AB34" s="654"/>
      <c r="AC34" s="654"/>
      <c r="AD34" s="654"/>
      <c r="AE34" s="654"/>
      <c r="AF34" s="654"/>
      <c r="AG34" s="654"/>
      <c r="AH34" s="649">
        <v>0.2</v>
      </c>
      <c r="AI34" s="649">
        <v>0.2</v>
      </c>
      <c r="AJ34" s="649">
        <v>0.2</v>
      </c>
      <c r="AK34" s="649">
        <v>0.1</v>
      </c>
      <c r="AL34" s="649">
        <v>0.1</v>
      </c>
      <c r="AM34" s="654"/>
      <c r="AN34" s="654"/>
      <c r="AO34" s="654"/>
      <c r="AP34" s="654"/>
      <c r="AQ34" s="654"/>
      <c r="AR34" s="654"/>
      <c r="AS34" s="654"/>
      <c r="AT34" s="654"/>
      <c r="AU34" s="654"/>
      <c r="AV34" s="654"/>
      <c r="AW34" s="654"/>
      <c r="AX34" s="649">
        <v>0.1</v>
      </c>
      <c r="AY34" s="649">
        <v>0.1</v>
      </c>
      <c r="AZ34" s="654"/>
      <c r="BA34" s="654"/>
      <c r="BB34" s="654"/>
      <c r="BC34" s="654"/>
      <c r="BD34" s="654"/>
      <c r="BE34" s="654"/>
      <c r="BF34" s="653"/>
      <c r="BG34" s="653"/>
      <c r="BH34" s="653"/>
      <c r="BI34" s="653"/>
      <c r="BJ34" s="653"/>
      <c r="BK34" s="653"/>
      <c r="BL34" s="653"/>
      <c r="BM34" s="653"/>
      <c r="BN34" s="653"/>
      <c r="BO34" s="653"/>
      <c r="BP34" s="653"/>
      <c r="BQ34" s="653"/>
    </row>
    <row r="35" spans="1:86" s="84" customFormat="1" ht="12.75" customHeight="1" outlineLevel="2">
      <c r="A35" s="86" t="s">
        <v>263</v>
      </c>
      <c r="B35" s="605"/>
      <c r="C35" s="605">
        <f t="shared" si="27"/>
        <v>1</v>
      </c>
      <c r="D35" s="655"/>
      <c r="E35" s="655"/>
      <c r="F35" s="655"/>
      <c r="G35" s="655"/>
      <c r="H35" s="655"/>
      <c r="I35" s="655"/>
      <c r="J35" s="655"/>
      <c r="K35" s="655"/>
      <c r="L35" s="655"/>
      <c r="M35" s="655"/>
      <c r="N35" s="655"/>
      <c r="O35" s="655"/>
      <c r="P35" s="656"/>
      <c r="Q35" s="656"/>
      <c r="R35" s="656"/>
      <c r="S35" s="656"/>
      <c r="T35" s="656"/>
      <c r="U35" s="656"/>
      <c r="V35" s="656"/>
      <c r="W35" s="656"/>
      <c r="X35" s="656"/>
      <c r="Y35" s="656"/>
      <c r="Z35" s="656"/>
      <c r="AA35" s="656"/>
      <c r="AB35" s="656"/>
      <c r="AC35" s="656"/>
      <c r="AD35" s="656"/>
      <c r="AE35" s="656"/>
      <c r="AF35" s="656"/>
      <c r="AG35" s="656"/>
      <c r="AH35" s="630">
        <v>0.2</v>
      </c>
      <c r="AI35" s="630">
        <v>0.2</v>
      </c>
      <c r="AJ35" s="630">
        <v>0.2</v>
      </c>
      <c r="AK35" s="630">
        <v>0.1</v>
      </c>
      <c r="AL35" s="630">
        <v>0.1</v>
      </c>
      <c r="AM35" s="656"/>
      <c r="AN35" s="656"/>
      <c r="AO35" s="656"/>
      <c r="AP35" s="656"/>
      <c r="AQ35" s="656"/>
      <c r="AR35" s="656"/>
      <c r="AS35" s="656"/>
      <c r="AT35" s="656"/>
      <c r="AU35" s="656"/>
      <c r="AV35" s="656"/>
      <c r="AW35" s="656"/>
      <c r="AX35" s="656"/>
      <c r="AY35" s="656"/>
      <c r="AZ35" s="656"/>
      <c r="BA35" s="656"/>
      <c r="BB35" s="656"/>
      <c r="BC35" s="656"/>
      <c r="BD35" s="630">
        <v>0.1</v>
      </c>
      <c r="BE35" s="630">
        <v>0.1</v>
      </c>
      <c r="BF35" s="655"/>
      <c r="BG35" s="655"/>
      <c r="BH35" s="655"/>
      <c r="BI35" s="655"/>
      <c r="BJ35" s="655"/>
      <c r="BK35" s="655"/>
      <c r="BL35" s="655"/>
      <c r="BM35" s="655"/>
      <c r="BN35" s="655"/>
      <c r="BO35" s="655"/>
      <c r="BP35" s="655"/>
      <c r="BQ35" s="655"/>
    </row>
    <row r="36" spans="1:86" s="84" customFormat="1" ht="12.75" customHeight="1" outlineLevel="3">
      <c r="A36" s="84" t="str">
        <f>+A10</f>
        <v xml:space="preserve">     Módulo 1</v>
      </c>
      <c r="B36" s="603"/>
      <c r="C36" s="603">
        <f t="shared" si="27"/>
        <v>1</v>
      </c>
      <c r="D36" s="654"/>
      <c r="E36" s="654"/>
      <c r="F36" s="652"/>
      <c r="G36" s="651"/>
      <c r="H36" s="652"/>
      <c r="I36" s="652"/>
      <c r="J36" s="652"/>
      <c r="K36" s="652"/>
      <c r="L36" s="652"/>
      <c r="M36" s="652"/>
      <c r="N36" s="652"/>
      <c r="O36" s="652"/>
      <c r="P36" s="652"/>
      <c r="Q36" s="652"/>
      <c r="R36" s="652"/>
      <c r="S36" s="624">
        <v>0.02</v>
      </c>
      <c r="T36" s="624">
        <v>2.5000000000000001E-2</v>
      </c>
      <c r="U36" s="624">
        <v>0.03</v>
      </c>
      <c r="V36" s="624">
        <v>3.5000000000000003E-2</v>
      </c>
      <c r="W36" s="624">
        <v>0.04</v>
      </c>
      <c r="X36" s="624">
        <v>4.4999999999999998E-2</v>
      </c>
      <c r="Y36" s="624">
        <v>0.05</v>
      </c>
      <c r="Z36" s="624">
        <v>5.5E-2</v>
      </c>
      <c r="AA36" s="624">
        <v>0.06</v>
      </c>
      <c r="AB36" s="624">
        <v>6.5000000000000002E-2</v>
      </c>
      <c r="AC36" s="624">
        <v>6.5000000000000002E-2</v>
      </c>
      <c r="AD36" s="624">
        <v>6.5000000000000002E-2</v>
      </c>
      <c r="AE36" s="624">
        <v>6.5000000000000002E-2</v>
      </c>
      <c r="AF36" s="624">
        <v>6.5000000000000002E-2</v>
      </c>
      <c r="AG36" s="624">
        <v>0.06</v>
      </c>
      <c r="AH36" s="624">
        <v>5.5E-2</v>
      </c>
      <c r="AI36" s="624">
        <v>0.05</v>
      </c>
      <c r="AJ36" s="624">
        <v>4.4999999999999998E-2</v>
      </c>
      <c r="AK36" s="624">
        <v>0.04</v>
      </c>
      <c r="AL36" s="624">
        <v>3.5000000000000003E-2</v>
      </c>
      <c r="AM36" s="624">
        <v>0.03</v>
      </c>
      <c r="AN36" s="652"/>
      <c r="AO36" s="652"/>
      <c r="AP36" s="652"/>
      <c r="AQ36" s="652"/>
      <c r="AR36" s="652"/>
      <c r="AS36" s="652"/>
      <c r="AT36" s="652"/>
      <c r="AU36" s="652"/>
      <c r="AV36" s="652"/>
      <c r="AW36" s="652"/>
      <c r="AX36" s="652"/>
      <c r="AY36" s="652"/>
      <c r="AZ36" s="652"/>
      <c r="BA36" s="652"/>
      <c r="BB36" s="652"/>
      <c r="BC36" s="652"/>
      <c r="BD36" s="652"/>
      <c r="BE36" s="652"/>
      <c r="BF36" s="652"/>
      <c r="BG36" s="654"/>
      <c r="BH36" s="654"/>
      <c r="BI36" s="654"/>
      <c r="BJ36" s="654"/>
      <c r="BK36" s="654"/>
      <c r="BL36" s="654"/>
      <c r="BM36" s="654"/>
      <c r="BN36" s="654"/>
      <c r="BO36" s="654"/>
      <c r="BP36" s="654"/>
      <c r="BQ36" s="654"/>
    </row>
    <row r="37" spans="1:86" s="84" customFormat="1" ht="12.75" customHeight="1" outlineLevel="3">
      <c r="A37" s="84" t="str">
        <f>+A11</f>
        <v xml:space="preserve">     Módulo 2</v>
      </c>
      <c r="B37" s="603"/>
      <c r="C37" s="603">
        <f t="shared" si="27"/>
        <v>1</v>
      </c>
      <c r="D37" s="654"/>
      <c r="E37" s="654"/>
      <c r="F37" s="654"/>
      <c r="G37" s="653"/>
      <c r="H37" s="654"/>
      <c r="I37" s="654"/>
      <c r="J37" s="654"/>
      <c r="K37" s="654"/>
      <c r="L37" s="654"/>
      <c r="M37" s="654"/>
      <c r="N37" s="654"/>
      <c r="O37" s="654"/>
      <c r="P37" s="654"/>
      <c r="Q37" s="654"/>
      <c r="R37" s="654"/>
      <c r="S37" s="654"/>
      <c r="T37" s="654"/>
      <c r="U37" s="654"/>
      <c r="V37" s="654"/>
      <c r="W37" s="654"/>
      <c r="X37" s="654"/>
      <c r="Y37" s="649">
        <v>0.02</v>
      </c>
      <c r="Z37" s="649">
        <v>2.5000000000000001E-2</v>
      </c>
      <c r="AA37" s="649">
        <v>0.03</v>
      </c>
      <c r="AB37" s="649">
        <v>3.5000000000000003E-2</v>
      </c>
      <c r="AC37" s="649">
        <v>0.04</v>
      </c>
      <c r="AD37" s="649">
        <v>4.4999999999999998E-2</v>
      </c>
      <c r="AE37" s="649">
        <v>0.05</v>
      </c>
      <c r="AF37" s="649">
        <v>5.5E-2</v>
      </c>
      <c r="AG37" s="649">
        <v>0.06</v>
      </c>
      <c r="AH37" s="649">
        <v>6.5000000000000002E-2</v>
      </c>
      <c r="AI37" s="649">
        <v>6.5000000000000002E-2</v>
      </c>
      <c r="AJ37" s="649">
        <v>6.5000000000000002E-2</v>
      </c>
      <c r="AK37" s="649">
        <v>6.5000000000000002E-2</v>
      </c>
      <c r="AL37" s="649">
        <v>6.5000000000000002E-2</v>
      </c>
      <c r="AM37" s="649">
        <v>0.06</v>
      </c>
      <c r="AN37" s="649">
        <v>5.5E-2</v>
      </c>
      <c r="AO37" s="649">
        <v>0.05</v>
      </c>
      <c r="AP37" s="649">
        <v>4.4999999999999998E-2</v>
      </c>
      <c r="AQ37" s="649">
        <v>0.04</v>
      </c>
      <c r="AR37" s="649">
        <v>3.5000000000000003E-2</v>
      </c>
      <c r="AS37" s="649">
        <v>0.03</v>
      </c>
      <c r="AT37" s="654"/>
      <c r="AU37" s="654"/>
      <c r="AV37" s="654"/>
      <c r="AW37" s="654"/>
      <c r="AX37" s="654"/>
      <c r="AY37" s="653"/>
      <c r="AZ37" s="653"/>
      <c r="BA37" s="653"/>
      <c r="BB37" s="653"/>
      <c r="BC37" s="653"/>
      <c r="BD37" s="653"/>
      <c r="BE37" s="654"/>
      <c r="BF37" s="654"/>
      <c r="BG37" s="654"/>
      <c r="BH37" s="654"/>
      <c r="BI37" s="654"/>
      <c r="BJ37" s="654"/>
      <c r="BK37" s="654"/>
      <c r="BL37" s="654"/>
      <c r="BM37" s="654"/>
      <c r="BN37" s="654"/>
      <c r="BO37" s="654"/>
      <c r="BP37" s="654"/>
      <c r="BQ37" s="654"/>
    </row>
    <row r="38" spans="1:86" s="84" customFormat="1" ht="12.75" customHeight="1" outlineLevel="3">
      <c r="A38" s="84" t="str">
        <f>+A12</f>
        <v xml:space="preserve">     Módulo 3</v>
      </c>
      <c r="B38" s="603"/>
      <c r="C38" s="603">
        <f t="shared" si="27"/>
        <v>1</v>
      </c>
      <c r="D38" s="654"/>
      <c r="E38" s="654"/>
      <c r="F38" s="654"/>
      <c r="G38" s="653"/>
      <c r="H38" s="654"/>
      <c r="I38" s="654"/>
      <c r="J38" s="654"/>
      <c r="K38" s="654"/>
      <c r="L38" s="654"/>
      <c r="M38" s="654"/>
      <c r="N38" s="654"/>
      <c r="O38" s="654"/>
      <c r="P38" s="654"/>
      <c r="Q38" s="654"/>
      <c r="R38" s="654"/>
      <c r="S38" s="654"/>
      <c r="T38" s="654"/>
      <c r="U38" s="654"/>
      <c r="V38" s="654"/>
      <c r="W38" s="654"/>
      <c r="X38" s="654"/>
      <c r="Y38" s="654"/>
      <c r="Z38" s="654"/>
      <c r="AA38" s="654"/>
      <c r="AB38" s="654"/>
      <c r="AC38" s="654"/>
      <c r="AD38" s="654"/>
      <c r="AE38" s="649">
        <v>0.02</v>
      </c>
      <c r="AF38" s="649">
        <v>2.5000000000000001E-2</v>
      </c>
      <c r="AG38" s="649">
        <v>0.03</v>
      </c>
      <c r="AH38" s="649">
        <v>3.5000000000000003E-2</v>
      </c>
      <c r="AI38" s="649">
        <v>0.04</v>
      </c>
      <c r="AJ38" s="649">
        <v>4.4999999999999998E-2</v>
      </c>
      <c r="AK38" s="649">
        <v>0.05</v>
      </c>
      <c r="AL38" s="649">
        <v>5.5E-2</v>
      </c>
      <c r="AM38" s="649">
        <v>0.06</v>
      </c>
      <c r="AN38" s="649">
        <v>6.5000000000000002E-2</v>
      </c>
      <c r="AO38" s="649">
        <v>6.5000000000000002E-2</v>
      </c>
      <c r="AP38" s="649">
        <v>6.5000000000000002E-2</v>
      </c>
      <c r="AQ38" s="649">
        <v>6.5000000000000002E-2</v>
      </c>
      <c r="AR38" s="649">
        <v>6.5000000000000002E-2</v>
      </c>
      <c r="AS38" s="649">
        <v>0.06</v>
      </c>
      <c r="AT38" s="649">
        <v>5.5E-2</v>
      </c>
      <c r="AU38" s="649">
        <v>0.05</v>
      </c>
      <c r="AV38" s="649">
        <v>4.4999999999999998E-2</v>
      </c>
      <c r="AW38" s="649">
        <v>0.04</v>
      </c>
      <c r="AX38" s="649">
        <v>3.5000000000000003E-2</v>
      </c>
      <c r="AY38" s="649">
        <v>0.03</v>
      </c>
      <c r="AZ38" s="654"/>
      <c r="BA38" s="654"/>
      <c r="BB38" s="654"/>
      <c r="BC38" s="654"/>
      <c r="BD38" s="654"/>
      <c r="BE38" s="654"/>
      <c r="BF38" s="654"/>
      <c r="BG38" s="654"/>
      <c r="BH38" s="654"/>
      <c r="BI38" s="654"/>
      <c r="BJ38" s="654"/>
      <c r="BK38" s="654"/>
      <c r="BL38" s="654"/>
      <c r="BM38" s="654"/>
      <c r="BN38" s="654"/>
      <c r="BO38" s="654"/>
      <c r="BP38" s="654"/>
      <c r="BQ38" s="654"/>
    </row>
    <row r="39" spans="1:86" s="84" customFormat="1" ht="12.75" customHeight="1" outlineLevel="3">
      <c r="A39" s="86" t="str">
        <f>+A13</f>
        <v xml:space="preserve">     Módulo 4</v>
      </c>
      <c r="B39" s="605"/>
      <c r="C39" s="605">
        <f t="shared" si="27"/>
        <v>1</v>
      </c>
      <c r="D39" s="656"/>
      <c r="E39" s="656"/>
      <c r="F39" s="656"/>
      <c r="G39" s="655"/>
      <c r="H39" s="656"/>
      <c r="I39" s="656"/>
      <c r="J39" s="656"/>
      <c r="K39" s="656"/>
      <c r="L39" s="656"/>
      <c r="M39" s="656"/>
      <c r="N39" s="656"/>
      <c r="O39" s="656"/>
      <c r="P39" s="656"/>
      <c r="Q39" s="656"/>
      <c r="R39" s="656"/>
      <c r="S39" s="656"/>
      <c r="T39" s="656"/>
      <c r="U39" s="656"/>
      <c r="V39" s="656"/>
      <c r="W39" s="656"/>
      <c r="X39" s="656"/>
      <c r="Y39" s="656"/>
      <c r="Z39" s="656"/>
      <c r="AA39" s="656"/>
      <c r="AB39" s="656"/>
      <c r="AC39" s="656"/>
      <c r="AD39" s="656"/>
      <c r="AE39" s="656"/>
      <c r="AF39" s="656"/>
      <c r="AG39" s="656"/>
      <c r="AH39" s="656"/>
      <c r="AI39" s="656"/>
      <c r="AJ39" s="656"/>
      <c r="AK39" s="630">
        <v>0.02</v>
      </c>
      <c r="AL39" s="630">
        <v>2.5000000000000001E-2</v>
      </c>
      <c r="AM39" s="630">
        <v>0.03</v>
      </c>
      <c r="AN39" s="630">
        <v>3.5000000000000003E-2</v>
      </c>
      <c r="AO39" s="630">
        <v>0.04</v>
      </c>
      <c r="AP39" s="630">
        <v>4.4999999999999998E-2</v>
      </c>
      <c r="AQ39" s="630">
        <v>0.05</v>
      </c>
      <c r="AR39" s="630">
        <v>5.5E-2</v>
      </c>
      <c r="AS39" s="630">
        <v>0.06</v>
      </c>
      <c r="AT39" s="630">
        <v>6.5000000000000002E-2</v>
      </c>
      <c r="AU39" s="630">
        <v>6.5000000000000002E-2</v>
      </c>
      <c r="AV39" s="630">
        <v>6.5000000000000002E-2</v>
      </c>
      <c r="AW39" s="630">
        <v>6.5000000000000002E-2</v>
      </c>
      <c r="AX39" s="630">
        <v>6.5000000000000002E-2</v>
      </c>
      <c r="AY39" s="630">
        <v>0.06</v>
      </c>
      <c r="AZ39" s="630">
        <v>5.5E-2</v>
      </c>
      <c r="BA39" s="630">
        <v>0.05</v>
      </c>
      <c r="BB39" s="630">
        <v>4.4999999999999998E-2</v>
      </c>
      <c r="BC39" s="630">
        <v>0.04</v>
      </c>
      <c r="BD39" s="630">
        <v>3.5000000000000003E-2</v>
      </c>
      <c r="BE39" s="630">
        <v>0.03</v>
      </c>
      <c r="BF39" s="656"/>
      <c r="BG39" s="656"/>
      <c r="BH39" s="656"/>
      <c r="BI39" s="656"/>
      <c r="BJ39" s="656"/>
      <c r="BK39" s="656"/>
      <c r="BL39" s="656"/>
      <c r="BM39" s="656"/>
      <c r="BN39" s="656"/>
      <c r="BO39" s="656"/>
      <c r="BP39" s="656"/>
      <c r="BQ39" s="656"/>
    </row>
    <row r="40" spans="1:86" s="69" customFormat="1" ht="12.75" customHeight="1" outlineLevel="3">
      <c r="A40" s="84"/>
      <c r="B40" s="71"/>
      <c r="C40" s="71"/>
      <c r="D40" s="654"/>
      <c r="E40" s="654"/>
      <c r="F40" s="654"/>
      <c r="G40" s="653"/>
      <c r="H40" s="654"/>
      <c r="I40" s="654"/>
      <c r="J40" s="654"/>
      <c r="K40" s="654"/>
      <c r="L40" s="654"/>
      <c r="M40" s="654"/>
      <c r="N40" s="654"/>
      <c r="O40" s="654"/>
      <c r="P40" s="654"/>
      <c r="Q40" s="654"/>
      <c r="R40" s="654"/>
      <c r="S40" s="654"/>
      <c r="T40" s="654"/>
      <c r="U40" s="654"/>
      <c r="V40" s="654"/>
      <c r="W40" s="654"/>
      <c r="X40" s="654"/>
      <c r="Y40" s="654"/>
      <c r="Z40" s="654"/>
      <c r="AA40" s="654"/>
      <c r="AB40" s="654"/>
      <c r="AC40" s="654"/>
      <c r="AD40" s="654"/>
      <c r="AE40" s="654"/>
      <c r="AF40" s="654"/>
      <c r="AG40" s="654"/>
      <c r="AH40" s="654"/>
      <c r="AI40" s="654"/>
      <c r="AJ40" s="654"/>
      <c r="AK40" s="654"/>
      <c r="AL40" s="654"/>
      <c r="AM40" s="654"/>
      <c r="AN40" s="654"/>
      <c r="AO40" s="654"/>
      <c r="AP40" s="654"/>
      <c r="AQ40" s="654"/>
      <c r="AR40" s="654"/>
      <c r="AS40" s="654"/>
      <c r="AT40" s="654"/>
      <c r="AU40" s="654"/>
      <c r="AV40" s="654"/>
      <c r="AW40" s="654"/>
      <c r="AX40" s="654"/>
      <c r="AY40" s="654"/>
      <c r="AZ40" s="654"/>
      <c r="BA40" s="654"/>
      <c r="BB40" s="654"/>
      <c r="BC40" s="654"/>
      <c r="BD40" s="654"/>
      <c r="BE40" s="654"/>
      <c r="BF40" s="654"/>
      <c r="BG40" s="654"/>
      <c r="BH40" s="654"/>
      <c r="BI40" s="654"/>
      <c r="BJ40" s="654"/>
      <c r="BK40" s="654"/>
      <c r="BL40" s="653"/>
      <c r="BM40" s="653"/>
      <c r="BN40" s="653"/>
      <c r="BO40" s="653"/>
      <c r="BP40" s="653"/>
      <c r="BQ40" s="653"/>
    </row>
    <row r="41" spans="1:86" s="70" customFormat="1" ht="12.75" customHeight="1" outlineLevel="3">
      <c r="A41" s="82" t="str">
        <f>+'Resid - Datos'!A78</f>
        <v>Infraestructura + Parquización Interna</v>
      </c>
      <c r="B41" s="601"/>
      <c r="C41" s="601">
        <f t="shared" ref="C41:C46" si="28">SUM(D41:CO41)</f>
        <v>1.0000000000000007</v>
      </c>
      <c r="D41" s="657"/>
      <c r="E41" s="657"/>
      <c r="F41" s="657"/>
      <c r="G41" s="657"/>
      <c r="H41" s="657"/>
      <c r="I41" s="657"/>
      <c r="J41" s="657"/>
      <c r="K41" s="657"/>
      <c r="L41" s="657"/>
      <c r="M41" s="657"/>
      <c r="N41" s="657"/>
      <c r="O41" s="624">
        <v>0.05</v>
      </c>
      <c r="P41" s="624">
        <v>0.05</v>
      </c>
      <c r="Q41" s="624">
        <v>0.05</v>
      </c>
      <c r="R41" s="624">
        <v>0.05</v>
      </c>
      <c r="S41" s="624">
        <v>1.4999999999999999E-2</v>
      </c>
      <c r="T41" s="624">
        <v>1.4999999999999999E-2</v>
      </c>
      <c r="U41" s="624">
        <v>1.4999999999999999E-2</v>
      </c>
      <c r="V41" s="624">
        <v>1.4999999999999999E-2</v>
      </c>
      <c r="W41" s="624">
        <v>1.4999999999999999E-2</v>
      </c>
      <c r="X41" s="624">
        <v>1.4999999999999999E-2</v>
      </c>
      <c r="Y41" s="624">
        <v>1.4999999999999999E-2</v>
      </c>
      <c r="Z41" s="624">
        <v>1.4999999999999999E-2</v>
      </c>
      <c r="AA41" s="624">
        <v>1.4999999999999999E-2</v>
      </c>
      <c r="AB41" s="624">
        <v>1.4999999999999999E-2</v>
      </c>
      <c r="AC41" s="624">
        <v>1.4999999999999999E-2</v>
      </c>
      <c r="AD41" s="624">
        <v>1.4999999999999999E-2</v>
      </c>
      <c r="AE41" s="624">
        <v>1.4999999999999999E-2</v>
      </c>
      <c r="AF41" s="624">
        <v>1.4999999999999999E-2</v>
      </c>
      <c r="AG41" s="624">
        <v>1.4999999999999999E-2</v>
      </c>
      <c r="AH41" s="624">
        <v>1.4999999999999999E-2</v>
      </c>
      <c r="AI41" s="624">
        <v>1.4999999999999999E-2</v>
      </c>
      <c r="AJ41" s="624">
        <v>1.4999999999999999E-2</v>
      </c>
      <c r="AK41" s="624">
        <v>2.5000000000000001E-2</v>
      </c>
      <c r="AL41" s="624">
        <v>2.5000000000000001E-2</v>
      </c>
      <c r="AM41" s="624">
        <v>2.5000000000000001E-2</v>
      </c>
      <c r="AN41" s="624">
        <v>2.5000000000000001E-2</v>
      </c>
      <c r="AO41" s="624">
        <v>2.5000000000000001E-2</v>
      </c>
      <c r="AP41" s="624">
        <v>2.5000000000000001E-2</v>
      </c>
      <c r="AQ41" s="624">
        <v>2.5000000000000001E-2</v>
      </c>
      <c r="AR41" s="624">
        <v>2.5000000000000001E-2</v>
      </c>
      <c r="AS41" s="624">
        <v>2.5000000000000001E-2</v>
      </c>
      <c r="AT41" s="624">
        <v>2.5000000000000001E-2</v>
      </c>
      <c r="AU41" s="624">
        <v>2.5000000000000001E-2</v>
      </c>
      <c r="AV41" s="624">
        <v>2.5000000000000001E-2</v>
      </c>
      <c r="AW41" s="624">
        <v>2.5000000000000001E-2</v>
      </c>
      <c r="AX41" s="624">
        <v>2.5000000000000001E-2</v>
      </c>
      <c r="AY41" s="624">
        <v>2.5000000000000001E-2</v>
      </c>
      <c r="AZ41" s="624">
        <v>2.5000000000000001E-2</v>
      </c>
      <c r="BA41" s="624">
        <v>2.5000000000000001E-2</v>
      </c>
      <c r="BB41" s="624">
        <v>2.5000000000000001E-2</v>
      </c>
      <c r="BC41" s="624">
        <v>0.02</v>
      </c>
      <c r="BD41" s="624">
        <v>0.02</v>
      </c>
      <c r="BE41" s="624">
        <v>0.02</v>
      </c>
      <c r="BF41" s="624">
        <v>0.02</v>
      </c>
      <c r="BG41" s="652"/>
      <c r="BH41" s="652"/>
      <c r="BI41" s="652"/>
      <c r="BJ41" s="652"/>
      <c r="BK41" s="652"/>
      <c r="BL41" s="652"/>
      <c r="BM41" s="652"/>
      <c r="BN41" s="652"/>
      <c r="BO41" s="652"/>
      <c r="BP41" s="652"/>
      <c r="BQ41" s="652"/>
    </row>
    <row r="42" spans="1:86" s="70" customFormat="1" ht="12.75" customHeight="1" outlineLevel="3">
      <c r="A42" s="86" t="str">
        <f>+'Resid - Datos'!A79</f>
        <v>Equipamientos</v>
      </c>
      <c r="B42" s="605"/>
      <c r="C42" s="605">
        <f t="shared" si="28"/>
        <v>1.0000000000000002</v>
      </c>
      <c r="D42" s="658"/>
      <c r="E42" s="658"/>
      <c r="F42" s="658"/>
      <c r="G42" s="658"/>
      <c r="H42" s="658"/>
      <c r="I42" s="658"/>
      <c r="J42" s="658"/>
      <c r="K42" s="658"/>
      <c r="L42" s="658"/>
      <c r="M42" s="658"/>
      <c r="N42" s="656"/>
      <c r="O42" s="656"/>
      <c r="P42" s="656"/>
      <c r="Q42" s="656"/>
      <c r="R42" s="658"/>
      <c r="S42" s="658"/>
      <c r="T42" s="658"/>
      <c r="U42" s="658"/>
      <c r="V42" s="658"/>
      <c r="W42" s="658"/>
      <c r="X42" s="658"/>
      <c r="Y42" s="658"/>
      <c r="Z42" s="658"/>
      <c r="AA42" s="656"/>
      <c r="AB42" s="656"/>
      <c r="AC42" s="656"/>
      <c r="AD42" s="656"/>
      <c r="AE42" s="656"/>
      <c r="AF42" s="656"/>
      <c r="AG42" s="656"/>
      <c r="AH42" s="656"/>
      <c r="AI42" s="656"/>
      <c r="AJ42" s="656"/>
      <c r="AK42" s="630">
        <v>0.2</v>
      </c>
      <c r="AL42" s="630">
        <v>0.2</v>
      </c>
      <c r="AM42" s="630">
        <v>0.2</v>
      </c>
      <c r="AN42" s="630">
        <v>0.1</v>
      </c>
      <c r="AO42" s="656"/>
      <c r="AP42" s="656"/>
      <c r="AQ42" s="656"/>
      <c r="AR42" s="656"/>
      <c r="AS42" s="630">
        <v>0.05</v>
      </c>
      <c r="AT42" s="630">
        <v>0.05</v>
      </c>
      <c r="AU42" s="656"/>
      <c r="AV42" s="656"/>
      <c r="AW42" s="656"/>
      <c r="AX42" s="656"/>
      <c r="AY42" s="630">
        <v>0.1</v>
      </c>
      <c r="AZ42" s="656"/>
      <c r="BA42" s="656"/>
      <c r="BB42" s="656"/>
      <c r="BC42" s="656"/>
      <c r="BD42" s="656"/>
      <c r="BE42" s="630">
        <v>0.1</v>
      </c>
      <c r="BF42" s="656"/>
      <c r="BG42" s="656"/>
      <c r="BH42" s="656"/>
      <c r="BI42" s="656"/>
      <c r="BJ42" s="656"/>
      <c r="BK42" s="656"/>
      <c r="BL42" s="656"/>
      <c r="BM42" s="656"/>
      <c r="BN42" s="656"/>
      <c r="BO42" s="656"/>
      <c r="BP42" s="656"/>
      <c r="BQ42" s="656"/>
    </row>
    <row r="43" spans="1:86" s="69" customFormat="1" ht="12.75" customHeight="1" outlineLevel="3">
      <c r="A43" s="82" t="str">
        <f>+'Resid - Datos'!I18</f>
        <v>Tasas y Derechos Municipales</v>
      </c>
      <c r="B43" s="601"/>
      <c r="C43" s="601">
        <f t="shared" si="28"/>
        <v>1.0000000000000002</v>
      </c>
      <c r="D43" s="652"/>
      <c r="E43" s="652"/>
      <c r="F43" s="652"/>
      <c r="G43" s="652"/>
      <c r="H43" s="652"/>
      <c r="I43" s="652"/>
      <c r="J43" s="652"/>
      <c r="K43" s="652"/>
      <c r="L43" s="624">
        <v>0.4</v>
      </c>
      <c r="M43" s="652"/>
      <c r="N43" s="652"/>
      <c r="O43" s="624">
        <v>0.4</v>
      </c>
      <c r="P43" s="652"/>
      <c r="Q43" s="652"/>
      <c r="R43" s="652"/>
      <c r="S43" s="652"/>
      <c r="T43" s="652"/>
      <c r="U43" s="652"/>
      <c r="V43" s="652"/>
      <c r="W43" s="652"/>
      <c r="X43" s="652"/>
      <c r="Y43" s="652"/>
      <c r="Z43" s="652"/>
      <c r="AA43" s="652"/>
      <c r="AB43" s="652"/>
      <c r="AC43" s="652"/>
      <c r="AD43" s="652"/>
      <c r="AE43" s="652"/>
      <c r="AF43" s="652"/>
      <c r="AG43" s="652"/>
      <c r="AH43" s="652"/>
      <c r="AI43" s="652"/>
      <c r="AJ43" s="652"/>
      <c r="AK43" s="652"/>
      <c r="AL43" s="652"/>
      <c r="AM43" s="624">
        <v>0.05</v>
      </c>
      <c r="AN43" s="652"/>
      <c r="AO43" s="652"/>
      <c r="AP43" s="652"/>
      <c r="AQ43" s="652"/>
      <c r="AR43" s="652"/>
      <c r="AS43" s="624">
        <v>0.05</v>
      </c>
      <c r="AT43" s="652"/>
      <c r="AU43" s="652"/>
      <c r="AV43" s="652"/>
      <c r="AW43" s="652"/>
      <c r="AX43" s="652"/>
      <c r="AY43" s="624">
        <v>0.05</v>
      </c>
      <c r="AZ43" s="652"/>
      <c r="BA43" s="652"/>
      <c r="BB43" s="652"/>
      <c r="BC43" s="652"/>
      <c r="BD43" s="652"/>
      <c r="BE43" s="624">
        <v>0.05</v>
      </c>
      <c r="BF43" s="652"/>
      <c r="BG43" s="652"/>
      <c r="BH43" s="652"/>
      <c r="BI43" s="652"/>
      <c r="BJ43" s="652"/>
      <c r="BK43" s="652"/>
      <c r="BL43" s="652"/>
      <c r="BM43" s="652"/>
      <c r="BN43" s="652"/>
      <c r="BO43" s="652"/>
      <c r="BP43" s="652"/>
      <c r="BQ43" s="652"/>
    </row>
    <row r="44" spans="1:86" s="70" customFormat="1" ht="12.75" customHeight="1" outlineLevel="3">
      <c r="A44" s="84" t="str">
        <f>+'Resid - Datos'!I19</f>
        <v>Honorarios Proyecto y DDO</v>
      </c>
      <c r="B44" s="616"/>
      <c r="C44" s="603">
        <f t="shared" si="28"/>
        <v>1.0000000000000007</v>
      </c>
      <c r="D44" s="654"/>
      <c r="E44" s="649">
        <v>0.05</v>
      </c>
      <c r="F44" s="649">
        <v>0.05</v>
      </c>
      <c r="G44" s="649">
        <v>0.05</v>
      </c>
      <c r="H44" s="649">
        <v>0.05</v>
      </c>
      <c r="I44" s="649">
        <v>0.05</v>
      </c>
      <c r="J44" s="649">
        <v>0.05</v>
      </c>
      <c r="K44" s="649">
        <v>0.05</v>
      </c>
      <c r="L44" s="649">
        <v>0.05</v>
      </c>
      <c r="M44" s="649">
        <f t="shared" ref="M44:BF44" si="29">(1-SUM($E$44:$L$44))/47</f>
        <v>1.2765957446808512E-2</v>
      </c>
      <c r="N44" s="649">
        <f t="shared" si="29"/>
        <v>1.2765957446808512E-2</v>
      </c>
      <c r="O44" s="649">
        <f t="shared" si="29"/>
        <v>1.2765957446808512E-2</v>
      </c>
      <c r="P44" s="649">
        <f t="shared" si="29"/>
        <v>1.2765957446808512E-2</v>
      </c>
      <c r="Q44" s="649">
        <f t="shared" si="29"/>
        <v>1.2765957446808512E-2</v>
      </c>
      <c r="R44" s="649">
        <f t="shared" si="29"/>
        <v>1.2765957446808512E-2</v>
      </c>
      <c r="S44" s="649">
        <f t="shared" si="29"/>
        <v>1.2765957446808512E-2</v>
      </c>
      <c r="T44" s="649">
        <f t="shared" si="29"/>
        <v>1.2765957446808512E-2</v>
      </c>
      <c r="U44" s="649">
        <f t="shared" si="29"/>
        <v>1.2765957446808512E-2</v>
      </c>
      <c r="V44" s="649">
        <f t="shared" si="29"/>
        <v>1.2765957446808512E-2</v>
      </c>
      <c r="W44" s="649">
        <f t="shared" si="29"/>
        <v>1.2765957446808512E-2</v>
      </c>
      <c r="X44" s="649">
        <f t="shared" si="29"/>
        <v>1.2765957446808512E-2</v>
      </c>
      <c r="Y44" s="649">
        <f t="shared" si="29"/>
        <v>1.2765957446808512E-2</v>
      </c>
      <c r="Z44" s="649">
        <f t="shared" si="29"/>
        <v>1.2765957446808512E-2</v>
      </c>
      <c r="AA44" s="649">
        <f t="shared" si="29"/>
        <v>1.2765957446808512E-2</v>
      </c>
      <c r="AB44" s="649">
        <f t="shared" si="29"/>
        <v>1.2765957446808512E-2</v>
      </c>
      <c r="AC44" s="649">
        <f t="shared" si="29"/>
        <v>1.2765957446808512E-2</v>
      </c>
      <c r="AD44" s="649">
        <f t="shared" si="29"/>
        <v>1.2765957446808512E-2</v>
      </c>
      <c r="AE44" s="649">
        <f t="shared" si="29"/>
        <v>1.2765957446808512E-2</v>
      </c>
      <c r="AF44" s="649">
        <f t="shared" si="29"/>
        <v>1.2765957446808512E-2</v>
      </c>
      <c r="AG44" s="649">
        <f t="shared" si="29"/>
        <v>1.2765957446808512E-2</v>
      </c>
      <c r="AH44" s="649">
        <f t="shared" si="29"/>
        <v>1.2765957446808512E-2</v>
      </c>
      <c r="AI44" s="649">
        <f t="shared" si="29"/>
        <v>1.2765957446808512E-2</v>
      </c>
      <c r="AJ44" s="649">
        <f t="shared" si="29"/>
        <v>1.2765957446808512E-2</v>
      </c>
      <c r="AK44" s="649">
        <f t="shared" si="29"/>
        <v>1.2765957446808512E-2</v>
      </c>
      <c r="AL44" s="649">
        <f t="shared" si="29"/>
        <v>1.2765957446808512E-2</v>
      </c>
      <c r="AM44" s="649">
        <f t="shared" si="29"/>
        <v>1.2765957446808512E-2</v>
      </c>
      <c r="AN44" s="649">
        <f t="shared" si="29"/>
        <v>1.2765957446808512E-2</v>
      </c>
      <c r="AO44" s="649">
        <f t="shared" si="29"/>
        <v>1.2765957446808512E-2</v>
      </c>
      <c r="AP44" s="649">
        <f t="shared" si="29"/>
        <v>1.2765957446808512E-2</v>
      </c>
      <c r="AQ44" s="649">
        <f t="shared" si="29"/>
        <v>1.2765957446808512E-2</v>
      </c>
      <c r="AR44" s="649">
        <f t="shared" si="29"/>
        <v>1.2765957446808512E-2</v>
      </c>
      <c r="AS44" s="649">
        <f t="shared" si="29"/>
        <v>1.2765957446808512E-2</v>
      </c>
      <c r="AT44" s="649">
        <f t="shared" si="29"/>
        <v>1.2765957446808512E-2</v>
      </c>
      <c r="AU44" s="649">
        <f t="shared" si="29"/>
        <v>1.2765957446808512E-2</v>
      </c>
      <c r="AV44" s="649">
        <f t="shared" si="29"/>
        <v>1.2765957446808512E-2</v>
      </c>
      <c r="AW44" s="649">
        <f t="shared" si="29"/>
        <v>1.2765957446808512E-2</v>
      </c>
      <c r="AX44" s="649">
        <f t="shared" si="29"/>
        <v>1.2765957446808512E-2</v>
      </c>
      <c r="AY44" s="649">
        <f t="shared" si="29"/>
        <v>1.2765957446808512E-2</v>
      </c>
      <c r="AZ44" s="649">
        <f t="shared" si="29"/>
        <v>1.2765957446808512E-2</v>
      </c>
      <c r="BA44" s="649">
        <f t="shared" si="29"/>
        <v>1.2765957446808512E-2</v>
      </c>
      <c r="BB44" s="649">
        <f t="shared" si="29"/>
        <v>1.2765957446808512E-2</v>
      </c>
      <c r="BC44" s="649">
        <f t="shared" si="29"/>
        <v>1.2765957446808512E-2</v>
      </c>
      <c r="BD44" s="649">
        <f t="shared" si="29"/>
        <v>1.2765957446808512E-2</v>
      </c>
      <c r="BE44" s="649">
        <f t="shared" si="29"/>
        <v>1.2765957446808512E-2</v>
      </c>
      <c r="BF44" s="649">
        <f t="shared" si="29"/>
        <v>1.2765957446808512E-2</v>
      </c>
      <c r="BG44" s="649">
        <f>(1-SUM($E$44:$L$44))/47</f>
        <v>1.2765957446808512E-2</v>
      </c>
      <c r="BH44" s="654"/>
      <c r="BI44" s="654"/>
      <c r="BJ44" s="654"/>
      <c r="BK44" s="654"/>
      <c r="BL44" s="654"/>
      <c r="BM44" s="654"/>
      <c r="BN44" s="654"/>
      <c r="BO44" s="654"/>
      <c r="BP44" s="654"/>
      <c r="BQ44" s="654"/>
    </row>
    <row r="45" spans="1:86" s="70" customFormat="1" ht="12.75" customHeight="1" outlineLevel="3">
      <c r="A45" s="84" t="str">
        <f>+'Resid - Datos'!I20</f>
        <v>Honorarios Gerenciamiento</v>
      </c>
      <c r="B45" s="616"/>
      <c r="C45" s="603">
        <f t="shared" si="28"/>
        <v>1.0000000000000004</v>
      </c>
      <c r="D45" s="654"/>
      <c r="E45" s="654"/>
      <c r="F45" s="654"/>
      <c r="G45" s="654"/>
      <c r="H45" s="654"/>
      <c r="I45" s="654"/>
      <c r="J45" s="654"/>
      <c r="K45" s="654"/>
      <c r="L45" s="654"/>
      <c r="M45" s="654"/>
      <c r="N45" s="654"/>
      <c r="O45" s="649">
        <f>100%/45</f>
        <v>2.2222222222222223E-2</v>
      </c>
      <c r="P45" s="649">
        <f t="shared" ref="P45:BG45" si="30">100%/45</f>
        <v>2.2222222222222223E-2</v>
      </c>
      <c r="Q45" s="649">
        <f t="shared" si="30"/>
        <v>2.2222222222222223E-2</v>
      </c>
      <c r="R45" s="649">
        <f t="shared" si="30"/>
        <v>2.2222222222222223E-2</v>
      </c>
      <c r="S45" s="649">
        <f t="shared" si="30"/>
        <v>2.2222222222222223E-2</v>
      </c>
      <c r="T45" s="649">
        <f t="shared" si="30"/>
        <v>2.2222222222222223E-2</v>
      </c>
      <c r="U45" s="649">
        <f t="shared" si="30"/>
        <v>2.2222222222222223E-2</v>
      </c>
      <c r="V45" s="649">
        <f t="shared" si="30"/>
        <v>2.2222222222222223E-2</v>
      </c>
      <c r="W45" s="649">
        <f t="shared" si="30"/>
        <v>2.2222222222222223E-2</v>
      </c>
      <c r="X45" s="649">
        <f t="shared" si="30"/>
        <v>2.2222222222222223E-2</v>
      </c>
      <c r="Y45" s="649">
        <f t="shared" si="30"/>
        <v>2.2222222222222223E-2</v>
      </c>
      <c r="Z45" s="649">
        <f t="shared" si="30"/>
        <v>2.2222222222222223E-2</v>
      </c>
      <c r="AA45" s="649">
        <f t="shared" si="30"/>
        <v>2.2222222222222223E-2</v>
      </c>
      <c r="AB45" s="649">
        <f t="shared" si="30"/>
        <v>2.2222222222222223E-2</v>
      </c>
      <c r="AC45" s="649">
        <f t="shared" si="30"/>
        <v>2.2222222222222223E-2</v>
      </c>
      <c r="AD45" s="649">
        <f t="shared" si="30"/>
        <v>2.2222222222222223E-2</v>
      </c>
      <c r="AE45" s="649">
        <f t="shared" si="30"/>
        <v>2.2222222222222223E-2</v>
      </c>
      <c r="AF45" s="649">
        <f t="shared" si="30"/>
        <v>2.2222222222222223E-2</v>
      </c>
      <c r="AG45" s="649">
        <f t="shared" si="30"/>
        <v>2.2222222222222223E-2</v>
      </c>
      <c r="AH45" s="649">
        <f t="shared" si="30"/>
        <v>2.2222222222222223E-2</v>
      </c>
      <c r="AI45" s="649">
        <f t="shared" si="30"/>
        <v>2.2222222222222223E-2</v>
      </c>
      <c r="AJ45" s="649">
        <f t="shared" si="30"/>
        <v>2.2222222222222223E-2</v>
      </c>
      <c r="AK45" s="649">
        <f t="shared" si="30"/>
        <v>2.2222222222222223E-2</v>
      </c>
      <c r="AL45" s="649">
        <f t="shared" si="30"/>
        <v>2.2222222222222223E-2</v>
      </c>
      <c r="AM45" s="649">
        <f t="shared" si="30"/>
        <v>2.2222222222222223E-2</v>
      </c>
      <c r="AN45" s="649">
        <f t="shared" si="30"/>
        <v>2.2222222222222223E-2</v>
      </c>
      <c r="AO45" s="649">
        <f t="shared" si="30"/>
        <v>2.2222222222222223E-2</v>
      </c>
      <c r="AP45" s="649">
        <f t="shared" si="30"/>
        <v>2.2222222222222223E-2</v>
      </c>
      <c r="AQ45" s="649">
        <f t="shared" si="30"/>
        <v>2.2222222222222223E-2</v>
      </c>
      <c r="AR45" s="649">
        <f t="shared" si="30"/>
        <v>2.2222222222222223E-2</v>
      </c>
      <c r="AS45" s="649">
        <f t="shared" si="30"/>
        <v>2.2222222222222223E-2</v>
      </c>
      <c r="AT45" s="649">
        <f t="shared" si="30"/>
        <v>2.2222222222222223E-2</v>
      </c>
      <c r="AU45" s="649">
        <f t="shared" si="30"/>
        <v>2.2222222222222223E-2</v>
      </c>
      <c r="AV45" s="649">
        <f t="shared" si="30"/>
        <v>2.2222222222222223E-2</v>
      </c>
      <c r="AW45" s="649">
        <f t="shared" si="30"/>
        <v>2.2222222222222223E-2</v>
      </c>
      <c r="AX45" s="649">
        <f t="shared" si="30"/>
        <v>2.2222222222222223E-2</v>
      </c>
      <c r="AY45" s="649">
        <f t="shared" si="30"/>
        <v>2.2222222222222223E-2</v>
      </c>
      <c r="AZ45" s="649">
        <f t="shared" si="30"/>
        <v>2.2222222222222223E-2</v>
      </c>
      <c r="BA45" s="649">
        <f t="shared" si="30"/>
        <v>2.2222222222222223E-2</v>
      </c>
      <c r="BB45" s="649">
        <f t="shared" si="30"/>
        <v>2.2222222222222223E-2</v>
      </c>
      <c r="BC45" s="649">
        <f t="shared" si="30"/>
        <v>2.2222222222222223E-2</v>
      </c>
      <c r="BD45" s="649">
        <f t="shared" si="30"/>
        <v>2.2222222222222223E-2</v>
      </c>
      <c r="BE45" s="649">
        <f t="shared" si="30"/>
        <v>2.2222222222222223E-2</v>
      </c>
      <c r="BF45" s="649">
        <f t="shared" si="30"/>
        <v>2.2222222222222223E-2</v>
      </c>
      <c r="BG45" s="649">
        <f t="shared" si="30"/>
        <v>2.2222222222222223E-2</v>
      </c>
      <c r="BH45" s="654"/>
      <c r="BI45" s="654"/>
      <c r="BJ45" s="654"/>
      <c r="BK45" s="654"/>
      <c r="BL45" s="654"/>
      <c r="BM45" s="654"/>
      <c r="BN45" s="654"/>
      <c r="BO45" s="654"/>
      <c r="BP45" s="654"/>
      <c r="BQ45" s="654"/>
    </row>
    <row r="46" spans="1:86" s="70" customFormat="1" ht="12.75" customHeight="1" outlineLevel="3">
      <c r="A46" s="86" t="str">
        <f>+'Resid - Datos'!I21</f>
        <v>Asesores</v>
      </c>
      <c r="B46" s="618"/>
      <c r="C46" s="605">
        <f t="shared" si="28"/>
        <v>1.0000000000000002</v>
      </c>
      <c r="D46" s="656"/>
      <c r="E46" s="656"/>
      <c r="F46" s="656"/>
      <c r="G46" s="656"/>
      <c r="H46" s="630">
        <v>0.1</v>
      </c>
      <c r="I46" s="630">
        <v>0.1</v>
      </c>
      <c r="J46" s="630">
        <v>0.1</v>
      </c>
      <c r="K46" s="630">
        <v>0.1</v>
      </c>
      <c r="L46" s="630">
        <v>0.1</v>
      </c>
      <c r="M46" s="630">
        <v>0.1</v>
      </c>
      <c r="N46" s="630">
        <v>0.1</v>
      </c>
      <c r="O46" s="656"/>
      <c r="P46" s="656"/>
      <c r="Q46" s="656"/>
      <c r="R46" s="656"/>
      <c r="S46" s="656"/>
      <c r="T46" s="656"/>
      <c r="U46" s="656"/>
      <c r="V46" s="656"/>
      <c r="W46" s="656"/>
      <c r="X46" s="656"/>
      <c r="Y46" s="656"/>
      <c r="Z46" s="656"/>
      <c r="AA46" s="656"/>
      <c r="AB46" s="656"/>
      <c r="AC46" s="656"/>
      <c r="AD46" s="656"/>
      <c r="AE46" s="656"/>
      <c r="AF46" s="656"/>
      <c r="AG46" s="656"/>
      <c r="AH46" s="656"/>
      <c r="AI46" s="656"/>
      <c r="AJ46" s="656"/>
      <c r="AK46" s="656"/>
      <c r="AL46" s="656"/>
      <c r="AM46" s="630">
        <v>0.05</v>
      </c>
      <c r="AN46" s="630">
        <v>0.05</v>
      </c>
      <c r="AO46" s="656"/>
      <c r="AP46" s="656"/>
      <c r="AQ46" s="656"/>
      <c r="AR46" s="656"/>
      <c r="AS46" s="630">
        <v>0.05</v>
      </c>
      <c r="AT46" s="630">
        <v>0.05</v>
      </c>
      <c r="AU46" s="656"/>
      <c r="AV46" s="656"/>
      <c r="AW46" s="656"/>
      <c r="AX46" s="656"/>
      <c r="AY46" s="630">
        <v>2.5000000000000001E-2</v>
      </c>
      <c r="AZ46" s="630">
        <v>2.5000000000000001E-2</v>
      </c>
      <c r="BA46" s="656"/>
      <c r="BB46" s="656"/>
      <c r="BC46" s="656"/>
      <c r="BD46" s="656"/>
      <c r="BE46" s="630">
        <v>2.5000000000000001E-2</v>
      </c>
      <c r="BF46" s="630">
        <v>2.5000000000000001E-2</v>
      </c>
      <c r="BG46" s="656"/>
      <c r="BH46" s="656"/>
      <c r="BI46" s="656"/>
      <c r="BJ46" s="656"/>
      <c r="BK46" s="656"/>
      <c r="BL46" s="656"/>
      <c r="BM46" s="656"/>
      <c r="BN46" s="656"/>
      <c r="BO46" s="656"/>
      <c r="BP46" s="656"/>
      <c r="BQ46" s="656"/>
    </row>
    <row r="47" spans="1:86" s="70" customFormat="1" ht="12.75" customHeight="1">
      <c r="A47" s="66"/>
      <c r="B47" s="66"/>
      <c r="C47" s="76"/>
      <c r="D47" s="66"/>
      <c r="E47" s="66"/>
      <c r="F47" s="66"/>
      <c r="G47" s="66"/>
      <c r="H47" s="66"/>
      <c r="I47" s="66"/>
      <c r="J47" s="66"/>
      <c r="K47" s="66"/>
      <c r="L47" s="66"/>
      <c r="M47" s="66"/>
      <c r="N47" s="66"/>
      <c r="O47" s="66"/>
      <c r="P47" s="66"/>
      <c r="Q47" s="66"/>
      <c r="R47" s="66"/>
      <c r="S47" s="66"/>
      <c r="T47" s="66"/>
      <c r="U47" s="66"/>
      <c r="V47" s="66"/>
      <c r="W47" s="66"/>
      <c r="X47" s="66"/>
      <c r="Y47" s="66"/>
      <c r="Z47" s="66"/>
      <c r="AA47" s="66"/>
      <c r="AB47" s="66"/>
      <c r="AC47" s="66"/>
      <c r="AD47" s="66"/>
      <c r="AE47" s="66"/>
      <c r="AF47" s="66"/>
      <c r="AG47" s="66"/>
      <c r="AH47" s="66"/>
      <c r="AI47" s="66"/>
      <c r="AJ47" s="66"/>
      <c r="AK47" s="66"/>
      <c r="AL47" s="66"/>
      <c r="AM47" s="66"/>
      <c r="AN47" s="66"/>
      <c r="AO47" s="66"/>
      <c r="AP47" s="66"/>
      <c r="AQ47" s="66"/>
      <c r="AR47" s="66"/>
      <c r="AS47" s="66"/>
      <c r="AT47" s="66"/>
      <c r="AU47" s="66"/>
      <c r="AV47" s="66"/>
      <c r="AW47" s="66"/>
      <c r="AX47" s="66"/>
      <c r="AY47" s="66"/>
      <c r="AZ47" s="66"/>
      <c r="BA47" s="66"/>
      <c r="BB47" s="66"/>
      <c r="BC47" s="66"/>
      <c r="BD47" s="66"/>
      <c r="BE47" s="66"/>
      <c r="BF47" s="66"/>
      <c r="BG47" s="66"/>
      <c r="BH47" s="66"/>
      <c r="BI47" s="66"/>
      <c r="BJ47" s="66"/>
      <c r="BK47" s="66"/>
      <c r="BL47" s="66"/>
      <c r="BM47" s="66"/>
      <c r="BN47" s="66"/>
      <c r="BO47" s="66"/>
      <c r="BP47" s="66"/>
      <c r="BQ47" s="66"/>
    </row>
    <row r="48" spans="1:86" s="623" customFormat="1" ht="14">
      <c r="A48" s="620" t="s">
        <v>264</v>
      </c>
      <c r="B48" s="620"/>
      <c r="C48" s="620"/>
      <c r="D48" s="620"/>
      <c r="E48" s="620"/>
      <c r="F48" s="620"/>
      <c r="G48" s="620"/>
      <c r="H48" s="620"/>
      <c r="I48" s="620"/>
      <c r="J48" s="620"/>
      <c r="K48" s="620"/>
      <c r="L48" s="620"/>
      <c r="M48" s="620"/>
      <c r="N48" s="620"/>
      <c r="O48" s="620"/>
      <c r="P48" s="620"/>
      <c r="Q48" s="620"/>
      <c r="R48" s="620"/>
      <c r="S48" s="620"/>
      <c r="T48" s="620"/>
      <c r="U48" s="620"/>
      <c r="V48" s="620"/>
      <c r="W48" s="620"/>
      <c r="X48" s="620"/>
      <c r="Y48" s="620"/>
      <c r="Z48" s="620"/>
      <c r="AA48" s="620"/>
      <c r="AB48" s="620"/>
      <c r="AC48" s="620"/>
      <c r="AD48" s="620"/>
      <c r="AE48" s="620"/>
      <c r="AF48" s="620"/>
      <c r="AG48" s="620"/>
      <c r="AH48" s="620"/>
      <c r="AI48" s="620"/>
      <c r="AJ48" s="620"/>
      <c r="AK48" s="620"/>
      <c r="AL48" s="620"/>
      <c r="AM48" s="620"/>
      <c r="AN48" s="620"/>
      <c r="AO48" s="620"/>
      <c r="AP48" s="620"/>
      <c r="AQ48" s="620"/>
      <c r="AR48" s="620"/>
      <c r="AS48" s="620"/>
      <c r="AT48" s="620"/>
      <c r="AU48" s="620"/>
      <c r="AV48" s="620"/>
      <c r="AW48" s="620"/>
      <c r="AX48" s="620"/>
      <c r="AY48" s="620"/>
      <c r="AZ48" s="620"/>
      <c r="BA48" s="620"/>
      <c r="BB48" s="620"/>
      <c r="BC48" s="620"/>
      <c r="BD48" s="620"/>
      <c r="BE48" s="620"/>
      <c r="BF48" s="620"/>
      <c r="BG48" s="620"/>
      <c r="BH48" s="620"/>
      <c r="BI48" s="620"/>
      <c r="BJ48" s="620"/>
      <c r="BK48" s="620"/>
      <c r="BL48" s="620"/>
      <c r="BM48" s="620"/>
      <c r="BN48" s="620"/>
      <c r="BO48" s="620"/>
      <c r="BP48" s="620"/>
      <c r="BQ48" s="620"/>
      <c r="BR48" s="620"/>
      <c r="BS48" s="620"/>
      <c r="BT48" s="620"/>
      <c r="BU48" s="620"/>
      <c r="BV48" s="620"/>
      <c r="BW48" s="620"/>
      <c r="BX48" s="620"/>
      <c r="BY48" s="620"/>
      <c r="BZ48" s="620"/>
      <c r="CA48" s="620"/>
      <c r="CB48" s="620"/>
      <c r="CC48" s="620"/>
      <c r="CD48" s="620"/>
      <c r="CE48" s="620"/>
      <c r="CF48" s="620"/>
      <c r="CG48" s="620"/>
      <c r="CH48" s="620"/>
    </row>
    <row r="49" spans="1:69" s="112" customFormat="1" ht="6" customHeight="1">
      <c r="A49" s="63"/>
      <c r="B49" s="101"/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AX49" s="63"/>
      <c r="AY49" s="63"/>
      <c r="AZ49" s="63"/>
      <c r="BA49" s="63"/>
      <c r="BB49" s="63"/>
      <c r="BC49" s="63"/>
      <c r="BD49" s="63"/>
      <c r="BE49" s="63"/>
      <c r="BF49" s="63"/>
      <c r="BG49" s="63"/>
      <c r="BH49" s="63"/>
      <c r="BI49" s="63"/>
      <c r="BJ49" s="63"/>
      <c r="BK49" s="63"/>
      <c r="BL49" s="63"/>
      <c r="BM49" s="63"/>
      <c r="BN49" s="63"/>
      <c r="BO49" s="63"/>
      <c r="BP49" s="63"/>
      <c r="BQ49" s="63"/>
    </row>
    <row r="50" spans="1:69" s="84" customFormat="1" ht="14" outlineLevel="1">
      <c r="A50" s="147" t="s">
        <v>93</v>
      </c>
      <c r="B50" s="614"/>
      <c r="C50" s="610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</row>
    <row r="51" spans="1:69" s="84" customFormat="1" ht="14" outlineLevel="1">
      <c r="A51" s="144" t="s">
        <v>135</v>
      </c>
      <c r="B51" s="616"/>
      <c r="C51" s="633">
        <f>SUM(D51:BQ51)</f>
        <v>-1932400</v>
      </c>
      <c r="D51" s="84">
        <f>-'Resid - Datos'!G14</f>
        <v>-1932400</v>
      </c>
    </row>
    <row r="52" spans="1:69" s="84" customFormat="1" ht="14" outlineLevel="1">
      <c r="A52" s="144" t="s">
        <v>198</v>
      </c>
      <c r="B52" s="615">
        <v>0</v>
      </c>
      <c r="C52" s="633">
        <f>SUM(D52:BQ52)</f>
        <v>0</v>
      </c>
      <c r="D52" s="84">
        <f>+D51*B52</f>
        <v>0</v>
      </c>
      <c r="AB52" s="84">
        <f>+P52</f>
        <v>0</v>
      </c>
      <c r="AN52" s="84">
        <f>+AB52</f>
        <v>0</v>
      </c>
    </row>
    <row r="53" spans="1:69" s="102" customFormat="1" ht="14">
      <c r="A53" s="117" t="s">
        <v>137</v>
      </c>
      <c r="B53" s="634"/>
      <c r="C53" s="607">
        <f>SUM(D53:BQ53)</f>
        <v>-1932400</v>
      </c>
      <c r="D53" s="117">
        <f>+D52+D51</f>
        <v>-1932400</v>
      </c>
      <c r="E53" s="117">
        <f t="shared" ref="E53:Q53" si="31">+E52+E51</f>
        <v>0</v>
      </c>
      <c r="F53" s="117">
        <f t="shared" si="31"/>
        <v>0</v>
      </c>
      <c r="G53" s="117">
        <f t="shared" si="31"/>
        <v>0</v>
      </c>
      <c r="H53" s="117">
        <f t="shared" si="31"/>
        <v>0</v>
      </c>
      <c r="I53" s="117">
        <f t="shared" si="31"/>
        <v>0</v>
      </c>
      <c r="J53" s="117">
        <f t="shared" si="31"/>
        <v>0</v>
      </c>
      <c r="K53" s="117">
        <f t="shared" si="31"/>
        <v>0</v>
      </c>
      <c r="L53" s="117">
        <f t="shared" si="31"/>
        <v>0</v>
      </c>
      <c r="M53" s="117">
        <f t="shared" si="31"/>
        <v>0</v>
      </c>
      <c r="N53" s="117">
        <f t="shared" si="31"/>
        <v>0</v>
      </c>
      <c r="O53" s="117">
        <f t="shared" si="31"/>
        <v>0</v>
      </c>
      <c r="P53" s="117">
        <f t="shared" si="31"/>
        <v>0</v>
      </c>
      <c r="Q53" s="117">
        <f t="shared" si="31"/>
        <v>0</v>
      </c>
      <c r="R53" s="117">
        <f t="shared" ref="R53" si="32">+R52+R51</f>
        <v>0</v>
      </c>
      <c r="S53" s="117">
        <f t="shared" ref="S53" si="33">+S52+S51</f>
        <v>0</v>
      </c>
      <c r="T53" s="117">
        <f t="shared" ref="T53" si="34">+T52+T51</f>
        <v>0</v>
      </c>
      <c r="U53" s="117">
        <f t="shared" ref="U53" si="35">+U52+U51</f>
        <v>0</v>
      </c>
      <c r="V53" s="117">
        <f t="shared" ref="V53" si="36">+V52+V51</f>
        <v>0</v>
      </c>
      <c r="W53" s="117">
        <f t="shared" ref="W53" si="37">+W52+W51</f>
        <v>0</v>
      </c>
      <c r="X53" s="117">
        <f t="shared" ref="X53" si="38">+X52+X51</f>
        <v>0</v>
      </c>
      <c r="Y53" s="117">
        <f t="shared" ref="Y53" si="39">+Y52+Y51</f>
        <v>0</v>
      </c>
      <c r="Z53" s="117">
        <f t="shared" ref="Z53" si="40">+Z52+Z51</f>
        <v>0</v>
      </c>
      <c r="AA53" s="117">
        <f t="shared" ref="AA53" si="41">+AA52+AA51</f>
        <v>0</v>
      </c>
      <c r="AB53" s="117">
        <f t="shared" ref="AB53" si="42">+AB52+AB51</f>
        <v>0</v>
      </c>
      <c r="AC53" s="117">
        <f t="shared" ref="AC53" si="43">+AC52+AC51</f>
        <v>0</v>
      </c>
      <c r="AD53" s="117">
        <f t="shared" ref="AD53" si="44">+AD52+AD51</f>
        <v>0</v>
      </c>
      <c r="AE53" s="117">
        <f t="shared" ref="AE53" si="45">+AE52+AE51</f>
        <v>0</v>
      </c>
      <c r="AF53" s="117">
        <f t="shared" ref="AF53" si="46">+AF52+AF51</f>
        <v>0</v>
      </c>
      <c r="AG53" s="117">
        <f t="shared" ref="AG53" si="47">+AG52+AG51</f>
        <v>0</v>
      </c>
      <c r="AH53" s="117">
        <f t="shared" ref="AH53" si="48">+AH52+AH51</f>
        <v>0</v>
      </c>
      <c r="AI53" s="117">
        <f t="shared" ref="AI53" si="49">+AI52+AI51</f>
        <v>0</v>
      </c>
      <c r="AJ53" s="117">
        <f t="shared" ref="AJ53" si="50">+AJ52+AJ51</f>
        <v>0</v>
      </c>
      <c r="AK53" s="117">
        <f t="shared" ref="AK53" si="51">+AK52+AK51</f>
        <v>0</v>
      </c>
      <c r="AL53" s="117">
        <f t="shared" ref="AL53" si="52">+AL52+AL51</f>
        <v>0</v>
      </c>
      <c r="AM53" s="117">
        <f t="shared" ref="AM53" si="53">+AM52+AM51</f>
        <v>0</v>
      </c>
      <c r="AN53" s="117">
        <f t="shared" ref="AN53" si="54">+AN52+AN51</f>
        <v>0</v>
      </c>
      <c r="AO53" s="117">
        <f t="shared" ref="AO53" si="55">+AO52+AO51</f>
        <v>0</v>
      </c>
      <c r="AP53" s="117">
        <f t="shared" ref="AP53" si="56">+AP52+AP51</f>
        <v>0</v>
      </c>
      <c r="AQ53" s="117">
        <f t="shared" ref="AQ53" si="57">+AQ52+AQ51</f>
        <v>0</v>
      </c>
      <c r="AR53" s="117">
        <f t="shared" ref="AR53" si="58">+AR52+AR51</f>
        <v>0</v>
      </c>
      <c r="AS53" s="117">
        <f t="shared" ref="AS53" si="59">+AS52+AS51</f>
        <v>0</v>
      </c>
      <c r="AT53" s="117">
        <f t="shared" ref="AT53" si="60">+AT52+AT51</f>
        <v>0</v>
      </c>
      <c r="AU53" s="117">
        <f t="shared" ref="AU53" si="61">+AU52+AU51</f>
        <v>0</v>
      </c>
      <c r="AV53" s="117">
        <f t="shared" ref="AV53" si="62">+AV52+AV51</f>
        <v>0</v>
      </c>
      <c r="AW53" s="117">
        <f t="shared" ref="AW53" si="63">+AW52+AW51</f>
        <v>0</v>
      </c>
      <c r="AX53" s="117">
        <f t="shared" ref="AX53" si="64">+AX52+AX51</f>
        <v>0</v>
      </c>
      <c r="AY53" s="117">
        <f t="shared" ref="AY53" si="65">+AY52+AY51</f>
        <v>0</v>
      </c>
      <c r="AZ53" s="117">
        <f t="shared" ref="AZ53" si="66">+AZ52+AZ51</f>
        <v>0</v>
      </c>
      <c r="BA53" s="117">
        <f t="shared" ref="BA53" si="67">+BA52+BA51</f>
        <v>0</v>
      </c>
      <c r="BB53" s="117">
        <f t="shared" ref="BB53" si="68">+BB52+BB51</f>
        <v>0</v>
      </c>
      <c r="BC53" s="117">
        <f t="shared" ref="BC53" si="69">+BC52+BC51</f>
        <v>0</v>
      </c>
      <c r="BD53" s="117">
        <f t="shared" ref="BD53" si="70">+BD52+BD51</f>
        <v>0</v>
      </c>
      <c r="BE53" s="117">
        <f t="shared" ref="BE53" si="71">+BE52+BE51</f>
        <v>0</v>
      </c>
      <c r="BF53" s="117">
        <f t="shared" ref="BF53" si="72">+BF52+BF51</f>
        <v>0</v>
      </c>
      <c r="BG53" s="117">
        <f t="shared" ref="BG53" si="73">+BG52+BG51</f>
        <v>0</v>
      </c>
      <c r="BH53" s="117">
        <f t="shared" ref="BH53" si="74">+BH52+BH51</f>
        <v>0</v>
      </c>
      <c r="BI53" s="117">
        <f t="shared" ref="BI53" si="75">+BI52+BI51</f>
        <v>0</v>
      </c>
      <c r="BJ53" s="117">
        <f t="shared" ref="BJ53" si="76">+BJ52+BJ51</f>
        <v>0</v>
      </c>
      <c r="BK53" s="117">
        <f t="shared" ref="BK53" si="77">+BK52+BK51</f>
        <v>0</v>
      </c>
      <c r="BL53" s="117">
        <f t="shared" ref="BL53" si="78">+BL52+BL51</f>
        <v>0</v>
      </c>
      <c r="BM53" s="117">
        <f t="shared" ref="BM53" si="79">+BM52+BM51</f>
        <v>0</v>
      </c>
      <c r="BN53" s="117">
        <f t="shared" ref="BN53" si="80">+BN52+BN51</f>
        <v>0</v>
      </c>
      <c r="BO53" s="117">
        <f t="shared" ref="BO53" si="81">+BO52+BO51</f>
        <v>0</v>
      </c>
      <c r="BP53" s="117">
        <f t="shared" ref="BP53" si="82">+BP52+BP51</f>
        <v>0</v>
      </c>
      <c r="BQ53" s="117">
        <f t="shared" ref="BQ53" si="83">+BQ52+BQ51</f>
        <v>0</v>
      </c>
    </row>
    <row r="54" spans="1:69" s="145" customFormat="1" ht="14">
      <c r="B54" s="146"/>
      <c r="C54" s="178"/>
      <c r="D54" s="146"/>
      <c r="E54" s="146"/>
      <c r="F54" s="146"/>
      <c r="G54" s="146"/>
      <c r="H54" s="146"/>
      <c r="I54" s="146"/>
      <c r="J54" s="146"/>
      <c r="K54" s="146"/>
      <c r="L54" s="146"/>
      <c r="M54" s="146"/>
      <c r="N54" s="146"/>
      <c r="O54" s="146"/>
      <c r="P54" s="146"/>
      <c r="Q54" s="146"/>
      <c r="R54" s="146"/>
      <c r="S54" s="146"/>
      <c r="T54" s="146"/>
      <c r="U54" s="146"/>
      <c r="V54" s="146"/>
      <c r="W54" s="146"/>
      <c r="X54" s="146"/>
      <c r="Y54" s="146"/>
      <c r="Z54" s="146"/>
      <c r="AA54" s="146"/>
      <c r="AB54" s="146"/>
      <c r="AC54" s="146"/>
      <c r="AD54" s="146"/>
      <c r="AE54" s="146"/>
      <c r="AF54" s="146"/>
      <c r="AG54" s="146"/>
      <c r="AH54" s="146"/>
      <c r="AI54" s="146"/>
      <c r="AJ54" s="146"/>
      <c r="AK54" s="146"/>
      <c r="AL54" s="146"/>
      <c r="AM54" s="146"/>
      <c r="AN54" s="146"/>
      <c r="AO54" s="146"/>
      <c r="AP54" s="146"/>
      <c r="AQ54" s="146"/>
      <c r="AR54" s="146"/>
      <c r="AS54" s="146"/>
      <c r="AT54" s="146"/>
      <c r="AU54" s="146"/>
      <c r="AV54" s="146"/>
      <c r="AW54" s="146"/>
      <c r="AX54" s="146"/>
      <c r="AY54" s="146"/>
      <c r="AZ54" s="146"/>
      <c r="BA54" s="146"/>
      <c r="BB54" s="146"/>
      <c r="BC54" s="146"/>
      <c r="BD54" s="146"/>
      <c r="BE54" s="146"/>
      <c r="BF54" s="146"/>
      <c r="BG54" s="146"/>
      <c r="BH54" s="146"/>
      <c r="BI54" s="146"/>
      <c r="BJ54" s="146"/>
      <c r="BK54" s="146"/>
      <c r="BL54" s="146"/>
      <c r="BM54" s="146"/>
      <c r="BN54" s="146"/>
      <c r="BO54" s="146"/>
      <c r="BP54" s="146"/>
      <c r="BQ54" s="146"/>
    </row>
    <row r="55" spans="1:69" s="70" customFormat="1" ht="14">
      <c r="A55" s="107" t="s">
        <v>362</v>
      </c>
      <c r="B55" s="108"/>
      <c r="C55" s="16"/>
      <c r="D55" s="112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2"/>
      <c r="AM55" s="112"/>
      <c r="AN55" s="112"/>
      <c r="AO55" s="112"/>
      <c r="AP55" s="112"/>
      <c r="AQ55" s="112"/>
      <c r="AR55" s="112"/>
      <c r="AS55" s="112"/>
      <c r="AT55" s="112"/>
      <c r="AU55" s="112"/>
      <c r="AV55" s="112"/>
      <c r="AW55" s="112"/>
      <c r="AX55" s="112"/>
      <c r="AY55" s="112"/>
      <c r="AZ55" s="112"/>
      <c r="BA55" s="112"/>
      <c r="BB55" s="112"/>
      <c r="BC55" s="112"/>
      <c r="BD55" s="112"/>
      <c r="BE55" s="112"/>
      <c r="BF55" s="112"/>
      <c r="BG55" s="112"/>
      <c r="BH55" s="112"/>
      <c r="BI55" s="112"/>
      <c r="BJ55" s="112"/>
      <c r="BK55" s="112"/>
      <c r="BL55" s="112"/>
      <c r="BM55" s="112"/>
      <c r="BN55" s="112"/>
      <c r="BO55" s="112"/>
      <c r="BP55" s="112"/>
      <c r="BQ55" s="112"/>
    </row>
    <row r="56" spans="1:69" s="70" customFormat="1" ht="14" hidden="1" outlineLevel="1">
      <c r="A56" s="109" t="str">
        <f>+A27</f>
        <v xml:space="preserve">    Demoliciones</v>
      </c>
      <c r="B56" s="640"/>
      <c r="C56" s="610">
        <f t="shared" ref="C56" si="84">SUM(D56:BQ56)</f>
        <v>-274557.13999999996</v>
      </c>
      <c r="D56" s="83">
        <f>-D27*'Resid - Datos'!$L$69*'Resid - Datos'!$O$7</f>
        <v>0</v>
      </c>
      <c r="E56" s="83">
        <f>-E27*'Resid - Datos'!$L$69*'Resid - Datos'!$O$7</f>
        <v>0</v>
      </c>
      <c r="F56" s="83">
        <f>-F27*'Resid - Datos'!$L$69*'Resid - Datos'!$O$7</f>
        <v>0</v>
      </c>
      <c r="G56" s="83">
        <f>-G27*'Resid - Datos'!$L$69*'Resid - Datos'!$O$7</f>
        <v>0</v>
      </c>
      <c r="H56" s="83">
        <f>-H27*'Resid - Datos'!$L$69*'Resid - Datos'!$O$7</f>
        <v>0</v>
      </c>
      <c r="I56" s="83">
        <f>-I27*'Resid - Datos'!$L$69*'Resid - Datos'!$O$7</f>
        <v>0</v>
      </c>
      <c r="J56" s="83">
        <f>-J27*'Resid - Datos'!$L$69*'Resid - Datos'!$O$7</f>
        <v>0</v>
      </c>
      <c r="K56" s="83">
        <f>-K27*'Resid - Datos'!$L$69*'Resid - Datos'!$O$7</f>
        <v>0</v>
      </c>
      <c r="L56" s="83">
        <f>-L27*'Resid - Datos'!$L$69*'Resid - Datos'!$O$7</f>
        <v>0</v>
      </c>
      <c r="M56" s="83">
        <f>-M27*'Resid - Datos'!$L$69*'Resid - Datos'!$O$7</f>
        <v>0</v>
      </c>
      <c r="N56" s="83">
        <f>-N27*'Resid - Datos'!$L$69*'Resid - Datos'!$O$7</f>
        <v>-137278.56999999998</v>
      </c>
      <c r="O56" s="83">
        <f>-O27*'Resid - Datos'!$L$69*'Resid - Datos'!$O$7</f>
        <v>-137278.56999999998</v>
      </c>
      <c r="P56" s="83">
        <f>-P27*'Resid - Datos'!$L$69*'Resid - Datos'!$O$7</f>
        <v>0</v>
      </c>
      <c r="Q56" s="83">
        <f>-Q27*'Resid - Datos'!$L$69*'Resid - Datos'!$O$7</f>
        <v>0</v>
      </c>
      <c r="R56" s="83">
        <f>-R27*'Resid - Datos'!$L$69*'Resid - Datos'!$O$7</f>
        <v>0</v>
      </c>
      <c r="S56" s="83">
        <f>-S27*'Resid - Datos'!$L$69*'Resid - Datos'!$O$7</f>
        <v>0</v>
      </c>
      <c r="T56" s="83">
        <f>-T27*'Resid - Datos'!$L$69*'Resid - Datos'!$O$7</f>
        <v>0</v>
      </c>
      <c r="U56" s="83">
        <f>-U27*'Resid - Datos'!$L$69*'Resid - Datos'!$O$7</f>
        <v>0</v>
      </c>
      <c r="V56" s="83">
        <f>-V27*'Resid - Datos'!$L$69*'Resid - Datos'!$O$7</f>
        <v>0</v>
      </c>
      <c r="W56" s="83">
        <f>-W27*'Resid - Datos'!$L$69*'Resid - Datos'!$O$7</f>
        <v>0</v>
      </c>
      <c r="X56" s="83">
        <f>-X27*'Resid - Datos'!$L$69*'Resid - Datos'!$O$7</f>
        <v>0</v>
      </c>
      <c r="Y56" s="83">
        <f>-Y27*'Resid - Datos'!$L$69*'Resid - Datos'!$O$7</f>
        <v>0</v>
      </c>
      <c r="Z56" s="83">
        <f>-Z27*'Resid - Datos'!$L$69*'Resid - Datos'!$O$7</f>
        <v>0</v>
      </c>
      <c r="AA56" s="83">
        <f>-AA27*'Resid - Datos'!$L$69*'Resid - Datos'!$O$7</f>
        <v>0</v>
      </c>
      <c r="AB56" s="83">
        <f>-AB27*'Resid - Datos'!$L$69*'Resid - Datos'!$O$7</f>
        <v>0</v>
      </c>
      <c r="AC56" s="83">
        <f>-AC27*'Resid - Datos'!$L$69*'Resid - Datos'!$O$7</f>
        <v>0</v>
      </c>
      <c r="AD56" s="83">
        <f>-AD27*'Resid - Datos'!$L$69*'Resid - Datos'!$O$7</f>
        <v>0</v>
      </c>
      <c r="AE56" s="83">
        <f>-AE27*'Resid - Datos'!$L$69*'Resid - Datos'!$O$7</f>
        <v>0</v>
      </c>
      <c r="AF56" s="83">
        <f>-AF27*'Resid - Datos'!$L$69*'Resid - Datos'!$O$7</f>
        <v>0</v>
      </c>
      <c r="AG56" s="83">
        <f>-AG27*'Resid - Datos'!$L$69*'Resid - Datos'!$O$7</f>
        <v>0</v>
      </c>
      <c r="AH56" s="83">
        <f>-AH27*'Resid - Datos'!$L$69*'Resid - Datos'!$O$7</f>
        <v>0</v>
      </c>
      <c r="AI56" s="83">
        <f>-AI27*'Resid - Datos'!$L$69*'Resid - Datos'!$O$7</f>
        <v>0</v>
      </c>
      <c r="AJ56" s="83">
        <f>-AJ27*'Resid - Datos'!$L$69*'Resid - Datos'!$O$7</f>
        <v>0</v>
      </c>
      <c r="AK56" s="83">
        <f>-AK27*'Resid - Datos'!$L$69*'Resid - Datos'!$O$7</f>
        <v>0</v>
      </c>
      <c r="AL56" s="83">
        <f>-AL27*'Resid - Datos'!$L$69*'Resid - Datos'!$O$7</f>
        <v>0</v>
      </c>
      <c r="AM56" s="83">
        <f>-AM27*'Resid - Datos'!$L$69*'Resid - Datos'!$O$7</f>
        <v>0</v>
      </c>
      <c r="AN56" s="83">
        <f>-AN27*'Resid - Datos'!$L$69*'Resid - Datos'!$O$7</f>
        <v>0</v>
      </c>
      <c r="AO56" s="83">
        <f>-AO27*'Resid - Datos'!$L$69*'Resid - Datos'!$O$7</f>
        <v>0</v>
      </c>
      <c r="AP56" s="83">
        <f>-AP27*'Resid - Datos'!$L$69*'Resid - Datos'!$O$7</f>
        <v>0</v>
      </c>
      <c r="AQ56" s="83">
        <f>-AQ27*'Resid - Datos'!$L$69*'Resid - Datos'!$O$7</f>
        <v>0</v>
      </c>
      <c r="AR56" s="83">
        <f>-AR27*'Resid - Datos'!$L$69*'Resid - Datos'!$O$7</f>
        <v>0</v>
      </c>
      <c r="AS56" s="83">
        <f>-AS27*'Resid - Datos'!$L$69*'Resid - Datos'!$O$7</f>
        <v>0</v>
      </c>
      <c r="AT56" s="83">
        <f>-AT27*'Resid - Datos'!$L$69*'Resid - Datos'!$O$7</f>
        <v>0</v>
      </c>
      <c r="AU56" s="83">
        <f>-AU27*'Resid - Datos'!$L$69*'Resid - Datos'!$O$7</f>
        <v>0</v>
      </c>
      <c r="AV56" s="83">
        <f>-AV27*'Resid - Datos'!$L$69*'Resid - Datos'!$O$7</f>
        <v>0</v>
      </c>
      <c r="AW56" s="83">
        <f>-AW27*'Resid - Datos'!$L$69*'Resid - Datos'!$O$7</f>
        <v>0</v>
      </c>
      <c r="AX56" s="83">
        <f>-AX27*'Resid - Datos'!$L$69*'Resid - Datos'!$O$7</f>
        <v>0</v>
      </c>
      <c r="AY56" s="83">
        <f>-AY27*'Resid - Datos'!$L$69*'Resid - Datos'!$O$7</f>
        <v>0</v>
      </c>
      <c r="AZ56" s="83">
        <f>-AZ27*'Resid - Datos'!$L$69*'Resid - Datos'!$O$7</f>
        <v>0</v>
      </c>
      <c r="BA56" s="83">
        <f>-BA27*'Resid - Datos'!$L$69*'Resid - Datos'!$O$7</f>
        <v>0</v>
      </c>
      <c r="BB56" s="83">
        <f>-BB27*'Resid - Datos'!$L$69*'Resid - Datos'!$O$7</f>
        <v>0</v>
      </c>
      <c r="BC56" s="83">
        <f>-BC27*'Resid - Datos'!$L$69*'Resid - Datos'!$O$7</f>
        <v>0</v>
      </c>
      <c r="BD56" s="83">
        <f>-BD27*'Resid - Datos'!$L$69*'Resid - Datos'!$O$7</f>
        <v>0</v>
      </c>
      <c r="BE56" s="83">
        <f>-BE27*'Resid - Datos'!$L$69*'Resid - Datos'!$O$7</f>
        <v>0</v>
      </c>
      <c r="BF56" s="83">
        <f>-BF27*'Resid - Datos'!$L$69*'Resid - Datos'!$O$7</f>
        <v>0</v>
      </c>
      <c r="BG56" s="83">
        <f>-BG27*'Resid - Datos'!$L$69*'Resid - Datos'!$O$7</f>
        <v>0</v>
      </c>
      <c r="BH56" s="83">
        <f>-BH27*'Resid - Datos'!$L$69*'Resid - Datos'!$O$7</f>
        <v>0</v>
      </c>
      <c r="BI56" s="83">
        <f>-BI27*'Resid - Datos'!$L$69*'Resid - Datos'!$O$7</f>
        <v>0</v>
      </c>
      <c r="BJ56" s="83">
        <f>-BJ27*'Resid - Datos'!$L$69*'Resid - Datos'!$O$7</f>
        <v>0</v>
      </c>
      <c r="BK56" s="83">
        <f>-BK27*'Resid - Datos'!$L$69*'Resid - Datos'!$O$7</f>
        <v>0</v>
      </c>
      <c r="BL56" s="83">
        <f>-BL27*'Resid - Datos'!$L$69*'Resid - Datos'!$O$7</f>
        <v>0</v>
      </c>
      <c r="BM56" s="83">
        <f>-BM27*'Resid - Datos'!$L$69*'Resid - Datos'!$O$7</f>
        <v>0</v>
      </c>
      <c r="BN56" s="83">
        <f>-BN27*'Resid - Datos'!$L$69*'Resid - Datos'!$O$7</f>
        <v>0</v>
      </c>
      <c r="BO56" s="83">
        <f>-BO27*'Resid - Datos'!$L$69*'Resid - Datos'!$O$7</f>
        <v>0</v>
      </c>
      <c r="BP56" s="83">
        <f>-BP27*'Resid - Datos'!$L$69*'Resid - Datos'!$O$7</f>
        <v>0</v>
      </c>
      <c r="BQ56" s="83">
        <f>-BQ27*'Resid - Datos'!$L$69*'Resid - Datos'!$O$7</f>
        <v>0</v>
      </c>
    </row>
    <row r="57" spans="1:69" s="70" customFormat="1" ht="14" hidden="1" outlineLevel="2">
      <c r="A57" s="109" t="str">
        <f>+A28</f>
        <v xml:space="preserve">    Subsuelo 1</v>
      </c>
      <c r="B57" s="640"/>
      <c r="C57" s="610">
        <f t="shared" ref="C57:C69" si="85">SUM(D57:BQ57)</f>
        <v>0</v>
      </c>
      <c r="D57" s="83">
        <f>-D28*'Resid - Datos'!$D$72*'Resid - Datos'!$O$7</f>
        <v>0</v>
      </c>
      <c r="E57" s="83">
        <f>-E28*'Resid - Datos'!$D$72*'Resid - Datos'!$O$7</f>
        <v>0</v>
      </c>
      <c r="F57" s="83">
        <f>-F28*'Resid - Datos'!$D$72*'Resid - Datos'!$O$7</f>
        <v>0</v>
      </c>
      <c r="G57" s="83">
        <f>-G28*'Resid - Datos'!$D$72*'Resid - Datos'!$O$7</f>
        <v>0</v>
      </c>
      <c r="H57" s="83">
        <f>-H28*'Resid - Datos'!$D$72*'Resid - Datos'!$O$7</f>
        <v>0</v>
      </c>
      <c r="I57" s="83">
        <f>-I28*'Resid - Datos'!$D$72*'Resid - Datos'!$O$7</f>
        <v>0</v>
      </c>
      <c r="J57" s="83">
        <f>-J28*'Resid - Datos'!$D$72*'Resid - Datos'!$O$7</f>
        <v>0</v>
      </c>
      <c r="K57" s="83">
        <f>-K28*'Resid - Datos'!$D$72*'Resid - Datos'!$O$7</f>
        <v>0</v>
      </c>
      <c r="L57" s="83">
        <f>-L28*'Resid - Datos'!$D$72*'Resid - Datos'!$O$7</f>
        <v>0</v>
      </c>
      <c r="M57" s="83">
        <f>-M28*'Resid - Datos'!$D$72*'Resid - Datos'!$O$7</f>
        <v>0</v>
      </c>
      <c r="N57" s="83">
        <f>-N28*'Resid - Datos'!$D$72*'Resid - Datos'!$O$7</f>
        <v>0</v>
      </c>
      <c r="O57" s="83">
        <f>-O28*'Resid - Datos'!$D$72*'Resid - Datos'!$O$7</f>
        <v>0</v>
      </c>
      <c r="P57" s="83">
        <f>-P28*'Resid - Datos'!$D$72*'Resid - Datos'!$O$7</f>
        <v>0</v>
      </c>
      <c r="Q57" s="83">
        <f>-Q28*'Resid - Datos'!$D$72*'Resid - Datos'!$O$7</f>
        <v>0</v>
      </c>
      <c r="R57" s="83">
        <f>-R28*'Resid - Datos'!$D$72*'Resid - Datos'!$O$7</f>
        <v>0</v>
      </c>
      <c r="S57" s="83">
        <f>-S28*'Resid - Datos'!$D$72*'Resid - Datos'!$O$7</f>
        <v>0</v>
      </c>
      <c r="T57" s="83">
        <f>-T28*'Resid - Datos'!$D$72*'Resid - Datos'!$O$7</f>
        <v>0</v>
      </c>
      <c r="U57" s="83">
        <f>-U28*'Resid - Datos'!$D$72*'Resid - Datos'!$O$7</f>
        <v>0</v>
      </c>
      <c r="V57" s="83">
        <f>-V28*'Resid - Datos'!$D$72*'Resid - Datos'!$O$7</f>
        <v>0</v>
      </c>
      <c r="W57" s="83">
        <f>-W28*'Resid - Datos'!$D$72*'Resid - Datos'!$O$7</f>
        <v>0</v>
      </c>
      <c r="X57" s="83">
        <f>-X28*'Resid - Datos'!$D$72*'Resid - Datos'!$O$7</f>
        <v>0</v>
      </c>
      <c r="Y57" s="83">
        <f>-Y28*'Resid - Datos'!$D$72*'Resid - Datos'!$O$7</f>
        <v>0</v>
      </c>
      <c r="Z57" s="83">
        <f>-Z28*'Resid - Datos'!$D$72*'Resid - Datos'!$O$7</f>
        <v>0</v>
      </c>
      <c r="AA57" s="83">
        <f>-AA28*'Resid - Datos'!$D$72*'Resid - Datos'!$O$7</f>
        <v>0</v>
      </c>
      <c r="AB57" s="83">
        <f>-AB28*'Resid - Datos'!$D$72*'Resid - Datos'!$O$7</f>
        <v>0</v>
      </c>
      <c r="AC57" s="83">
        <f>-AC28*'Resid - Datos'!$D$72*'Resid - Datos'!$O$7</f>
        <v>0</v>
      </c>
      <c r="AD57" s="83">
        <f>-AD28*'Resid - Datos'!$D$72*'Resid - Datos'!$O$7</f>
        <v>0</v>
      </c>
      <c r="AE57" s="83">
        <f>-AE28*'Resid - Datos'!$D$72*'Resid - Datos'!$O$7</f>
        <v>0</v>
      </c>
      <c r="AF57" s="83">
        <f>-AF28*'Resid - Datos'!$D$72*'Resid - Datos'!$O$7</f>
        <v>0</v>
      </c>
      <c r="AG57" s="83">
        <f>-AG28*'Resid - Datos'!$D$72*'Resid - Datos'!$O$7</f>
        <v>0</v>
      </c>
      <c r="AH57" s="83">
        <f>-AH28*'Resid - Datos'!$D$72*'Resid - Datos'!$O$7</f>
        <v>0</v>
      </c>
      <c r="AI57" s="83">
        <f>-AI28*'Resid - Datos'!$D$72*'Resid - Datos'!$O$7</f>
        <v>0</v>
      </c>
      <c r="AJ57" s="83">
        <f>-AJ28*'Resid - Datos'!$D$72*'Resid - Datos'!$O$7</f>
        <v>0</v>
      </c>
      <c r="AK57" s="83">
        <f>-AK28*'Resid - Datos'!$D$72*'Resid - Datos'!$O$7</f>
        <v>0</v>
      </c>
      <c r="AL57" s="83">
        <f>-AL28*'Resid - Datos'!$D$72*'Resid - Datos'!$O$7</f>
        <v>0</v>
      </c>
      <c r="AM57" s="83">
        <f>-AM28*'Resid - Datos'!$D$72*'Resid - Datos'!$O$7</f>
        <v>0</v>
      </c>
      <c r="AN57" s="83">
        <f>-AN28*'Resid - Datos'!$D$72*'Resid - Datos'!$O$7</f>
        <v>0</v>
      </c>
      <c r="AO57" s="83">
        <f>-AO28*'Resid - Datos'!$D$72*'Resid - Datos'!$O$7</f>
        <v>0</v>
      </c>
      <c r="AP57" s="83">
        <f>-AP28*'Resid - Datos'!$D$72*'Resid - Datos'!$O$7</f>
        <v>0</v>
      </c>
      <c r="AQ57" s="83">
        <f>-AQ28*'Resid - Datos'!$D$72*'Resid - Datos'!$O$7</f>
        <v>0</v>
      </c>
      <c r="AR57" s="83">
        <f>-AR28*'Resid - Datos'!$D$72*'Resid - Datos'!$O$7</f>
        <v>0</v>
      </c>
      <c r="AS57" s="83">
        <f>-AS28*'Resid - Datos'!$D$72*'Resid - Datos'!$O$7</f>
        <v>0</v>
      </c>
      <c r="AT57" s="83">
        <f>-AT28*'Resid - Datos'!$D$72*'Resid - Datos'!$O$7</f>
        <v>0</v>
      </c>
      <c r="AU57" s="83">
        <f>-AU28*'Resid - Datos'!$D$72*'Resid - Datos'!$O$7</f>
        <v>0</v>
      </c>
      <c r="AV57" s="83">
        <f>-AV28*'Resid - Datos'!$D$72*'Resid - Datos'!$O$7</f>
        <v>0</v>
      </c>
      <c r="AW57" s="83">
        <f>-AW28*'Resid - Datos'!$D$72*'Resid - Datos'!$O$7</f>
        <v>0</v>
      </c>
      <c r="AX57" s="83">
        <f>-AX28*'Resid - Datos'!$D$72*'Resid - Datos'!$O$7</f>
        <v>0</v>
      </c>
      <c r="AY57" s="83">
        <f>-AY28*'Resid - Datos'!$D$72*'Resid - Datos'!$O$7</f>
        <v>0</v>
      </c>
      <c r="AZ57" s="83">
        <f>-AZ28*'Resid - Datos'!$D$72*'Resid - Datos'!$O$7</f>
        <v>0</v>
      </c>
      <c r="BA57" s="83">
        <f>-BA28*'Resid - Datos'!$D$72*'Resid - Datos'!$O$7</f>
        <v>0</v>
      </c>
      <c r="BB57" s="83">
        <f>-BB28*'Resid - Datos'!$D$72*'Resid - Datos'!$O$7</f>
        <v>0</v>
      </c>
      <c r="BC57" s="83">
        <f>-BC28*'Resid - Datos'!$D$72*'Resid - Datos'!$O$7</f>
        <v>0</v>
      </c>
      <c r="BD57" s="83">
        <f>-BD28*'Resid - Datos'!$D$72*'Resid - Datos'!$O$7</f>
        <v>0</v>
      </c>
      <c r="BE57" s="83">
        <f>-BE28*'Resid - Datos'!$D$72*'Resid - Datos'!$O$7</f>
        <v>0</v>
      </c>
      <c r="BF57" s="83">
        <f>-BF28*'Resid - Datos'!$D$72*'Resid - Datos'!$O$7</f>
        <v>0</v>
      </c>
      <c r="BG57" s="83">
        <f>-BG28*'Resid - Datos'!$D$72*'Resid - Datos'!$O$7</f>
        <v>0</v>
      </c>
      <c r="BH57" s="83">
        <f>-BH28*'Resid - Datos'!$D$72*'Resid - Datos'!$O$7</f>
        <v>0</v>
      </c>
      <c r="BI57" s="83">
        <f>-BI28*'Resid - Datos'!$D$72*'Resid - Datos'!$O$7</f>
        <v>0</v>
      </c>
      <c r="BJ57" s="83">
        <f>-BJ28*'Resid - Datos'!$D$72*'Resid - Datos'!$O$7</f>
        <v>0</v>
      </c>
      <c r="BK57" s="83">
        <f>-BK28*'Resid - Datos'!$D$72*'Resid - Datos'!$O$7</f>
        <v>0</v>
      </c>
      <c r="BL57" s="83">
        <f>-BL28*'Resid - Datos'!$D$72*'Resid - Datos'!$O$7</f>
        <v>0</v>
      </c>
      <c r="BM57" s="83">
        <f>-BM28*'Resid - Datos'!$D$72*'Resid - Datos'!$O$7</f>
        <v>0</v>
      </c>
      <c r="BN57" s="83">
        <f>-BN28*'Resid - Datos'!$D$72*'Resid - Datos'!$O$7</f>
        <v>0</v>
      </c>
      <c r="BO57" s="83">
        <f>-BO28*'Resid - Datos'!$D$72*'Resid - Datos'!$O$7</f>
        <v>0</v>
      </c>
      <c r="BP57" s="83">
        <f>-BP28*'Resid - Datos'!$D$72*'Resid - Datos'!$O$7</f>
        <v>0</v>
      </c>
      <c r="BQ57" s="83">
        <f>-BQ28*'Resid - Datos'!$D$72*'Resid - Datos'!$O$7</f>
        <v>0</v>
      </c>
    </row>
    <row r="58" spans="1:69" s="70" customFormat="1" ht="14" hidden="1" outlineLevel="2">
      <c r="A58" s="110" t="str">
        <f>+A29</f>
        <v xml:space="preserve">    Subsuelo 2</v>
      </c>
      <c r="B58" s="641"/>
      <c r="C58" s="633">
        <f t="shared" si="85"/>
        <v>0</v>
      </c>
      <c r="D58" s="112">
        <f>-D29*'Resid - Datos'!$D$73*'Resid - Datos'!$O$7</f>
        <v>0</v>
      </c>
      <c r="E58" s="112">
        <f>-E29*'Resid - Datos'!$D$73*'Resid - Datos'!$O$7</f>
        <v>0</v>
      </c>
      <c r="F58" s="112">
        <f>-F29*'Resid - Datos'!$D$73*'Resid - Datos'!$O$7</f>
        <v>0</v>
      </c>
      <c r="G58" s="112">
        <f>-G29*'Resid - Datos'!$D$73*'Resid - Datos'!$O$7</f>
        <v>0</v>
      </c>
      <c r="H58" s="112">
        <f>-H29*'Resid - Datos'!$D$73*'Resid - Datos'!$O$7</f>
        <v>0</v>
      </c>
      <c r="I58" s="112">
        <f>-I29*'Resid - Datos'!$D$73*'Resid - Datos'!$O$7</f>
        <v>0</v>
      </c>
      <c r="J58" s="112">
        <f>-J29*'Resid - Datos'!$D$73*'Resid - Datos'!$O$7</f>
        <v>0</v>
      </c>
      <c r="K58" s="112">
        <f>-K29*'Resid - Datos'!$D$73*'Resid - Datos'!$O$7</f>
        <v>0</v>
      </c>
      <c r="L58" s="112">
        <f>-L29*'Resid - Datos'!$D$73*'Resid - Datos'!$O$7</f>
        <v>0</v>
      </c>
      <c r="M58" s="112">
        <f>-M29*'Resid - Datos'!$D$73*'Resid - Datos'!$O$7</f>
        <v>0</v>
      </c>
      <c r="N58" s="112">
        <f>-N29*'Resid - Datos'!$D$73*'Resid - Datos'!$O$7</f>
        <v>0</v>
      </c>
      <c r="O58" s="112">
        <f>-O29*'Resid - Datos'!$D$73*'Resid - Datos'!$O$7</f>
        <v>0</v>
      </c>
      <c r="P58" s="112">
        <f>-P29*'Resid - Datos'!$D$73*'Resid - Datos'!$O$7</f>
        <v>0</v>
      </c>
      <c r="Q58" s="112">
        <f>-Q29*'Resid - Datos'!$D$73*'Resid - Datos'!$O$7</f>
        <v>0</v>
      </c>
      <c r="R58" s="112">
        <f>-R29*'Resid - Datos'!$D$73*'Resid - Datos'!$O$7</f>
        <v>0</v>
      </c>
      <c r="S58" s="112">
        <f>-S29*'Resid - Datos'!$D$73*'Resid - Datos'!$O$7</f>
        <v>0</v>
      </c>
      <c r="T58" s="112">
        <f>-T29*'Resid - Datos'!$D$73*'Resid - Datos'!$O$7</f>
        <v>0</v>
      </c>
      <c r="U58" s="112">
        <f>-U29*'Resid - Datos'!$D$73*'Resid - Datos'!$O$7</f>
        <v>0</v>
      </c>
      <c r="V58" s="112">
        <f>-V29*'Resid - Datos'!$D$73*'Resid - Datos'!$O$7</f>
        <v>0</v>
      </c>
      <c r="W58" s="112">
        <f>-W29*'Resid - Datos'!$D$73*'Resid - Datos'!$O$7</f>
        <v>0</v>
      </c>
      <c r="X58" s="112">
        <f>-X29*'Resid - Datos'!$D$73*'Resid - Datos'!$O$7</f>
        <v>0</v>
      </c>
      <c r="Y58" s="112">
        <f>-Y29*'Resid - Datos'!$D$73*'Resid - Datos'!$O$7</f>
        <v>0</v>
      </c>
      <c r="Z58" s="112">
        <f>-Z29*'Resid - Datos'!$D$73*'Resid - Datos'!$O$7</f>
        <v>0</v>
      </c>
      <c r="AA58" s="112">
        <f>-AA29*'Resid - Datos'!$D$73*'Resid - Datos'!$O$7</f>
        <v>0</v>
      </c>
      <c r="AB58" s="112">
        <f>-AB29*'Resid - Datos'!$D$73*'Resid - Datos'!$O$7</f>
        <v>0</v>
      </c>
      <c r="AC58" s="112">
        <f>-AC29*'Resid - Datos'!$D$73*'Resid - Datos'!$O$7</f>
        <v>0</v>
      </c>
      <c r="AD58" s="112">
        <f>-AD29*'Resid - Datos'!$D$73*'Resid - Datos'!$O$7</f>
        <v>0</v>
      </c>
      <c r="AE58" s="112">
        <f>-AE29*'Resid - Datos'!$D$73*'Resid - Datos'!$O$7</f>
        <v>0</v>
      </c>
      <c r="AF58" s="112">
        <f>-AF29*'Resid - Datos'!$D$73*'Resid - Datos'!$O$7</f>
        <v>0</v>
      </c>
      <c r="AG58" s="112">
        <f>-AG29*'Resid - Datos'!$D$73*'Resid - Datos'!$O$7</f>
        <v>0</v>
      </c>
      <c r="AH58" s="112">
        <f>-AH29*'Resid - Datos'!$D$73*'Resid - Datos'!$O$7</f>
        <v>0</v>
      </c>
      <c r="AI58" s="112">
        <f>-AI29*'Resid - Datos'!$D$73*'Resid - Datos'!$O$7</f>
        <v>0</v>
      </c>
      <c r="AJ58" s="112">
        <f>-AJ29*'Resid - Datos'!$D$73*'Resid - Datos'!$O$7</f>
        <v>0</v>
      </c>
      <c r="AK58" s="112">
        <f>-AK29*'Resid - Datos'!$D$73*'Resid - Datos'!$O$7</f>
        <v>0</v>
      </c>
      <c r="AL58" s="112">
        <f>-AL29*'Resid - Datos'!$D$73*'Resid - Datos'!$O$7</f>
        <v>0</v>
      </c>
      <c r="AM58" s="112">
        <f>-AM29*'Resid - Datos'!$D$73*'Resid - Datos'!$O$7</f>
        <v>0</v>
      </c>
      <c r="AN58" s="112">
        <f>-AN29*'Resid - Datos'!$D$73*'Resid - Datos'!$O$7</f>
        <v>0</v>
      </c>
      <c r="AO58" s="112">
        <f>-AO29*'Resid - Datos'!$D$73*'Resid - Datos'!$O$7</f>
        <v>0</v>
      </c>
      <c r="AP58" s="112">
        <f>-AP29*'Resid - Datos'!$D$73*'Resid - Datos'!$O$7</f>
        <v>0</v>
      </c>
      <c r="AQ58" s="112">
        <f>-AQ29*'Resid - Datos'!$D$73*'Resid - Datos'!$O$7</f>
        <v>0</v>
      </c>
      <c r="AR58" s="112">
        <f>-AR29*'Resid - Datos'!$D$73*'Resid - Datos'!$O$7</f>
        <v>0</v>
      </c>
      <c r="AS58" s="112">
        <f>-AS29*'Resid - Datos'!$D$73*'Resid - Datos'!$O$7</f>
        <v>0</v>
      </c>
      <c r="AT58" s="112">
        <f>-AT29*'Resid - Datos'!$D$73*'Resid - Datos'!$O$7</f>
        <v>0</v>
      </c>
      <c r="AU58" s="112">
        <f>-AU29*'Resid - Datos'!$D$73*'Resid - Datos'!$O$7</f>
        <v>0</v>
      </c>
      <c r="AV58" s="112">
        <f>-AV29*'Resid - Datos'!$D$73*'Resid - Datos'!$O$7</f>
        <v>0</v>
      </c>
      <c r="AW58" s="112">
        <f>-AW29*'Resid - Datos'!$D$73*'Resid - Datos'!$O$7</f>
        <v>0</v>
      </c>
      <c r="AX58" s="112">
        <f>-AX29*'Resid - Datos'!$D$73*'Resid - Datos'!$O$7</f>
        <v>0</v>
      </c>
      <c r="AY58" s="112">
        <f>-AY29*'Resid - Datos'!$D$73*'Resid - Datos'!$O$7</f>
        <v>0</v>
      </c>
      <c r="AZ58" s="112">
        <f>-AZ29*'Resid - Datos'!$D$73*'Resid - Datos'!$O$7</f>
        <v>0</v>
      </c>
      <c r="BA58" s="112">
        <f>-BA29*'Resid - Datos'!$D$73*'Resid - Datos'!$O$7</f>
        <v>0</v>
      </c>
      <c r="BB58" s="112">
        <f>-BB29*'Resid - Datos'!$D$73*'Resid - Datos'!$O$7</f>
        <v>0</v>
      </c>
      <c r="BC58" s="112">
        <f>-BC29*'Resid - Datos'!$D$73*'Resid - Datos'!$O$7</f>
        <v>0</v>
      </c>
      <c r="BD58" s="112">
        <f>-BD29*'Resid - Datos'!$D$73*'Resid - Datos'!$O$7</f>
        <v>0</v>
      </c>
      <c r="BE58" s="112">
        <f>-BE29*'Resid - Datos'!$D$73*'Resid - Datos'!$O$7</f>
        <v>0</v>
      </c>
      <c r="BF58" s="112">
        <f>-BF29*'Resid - Datos'!$D$73*'Resid - Datos'!$O$7</f>
        <v>0</v>
      </c>
      <c r="BG58" s="112">
        <f>-BG29*'Resid - Datos'!$D$73*'Resid - Datos'!$O$7</f>
        <v>0</v>
      </c>
      <c r="BH58" s="112">
        <f>-BH29*'Resid - Datos'!$D$73*'Resid - Datos'!$O$7</f>
        <v>0</v>
      </c>
      <c r="BI58" s="112">
        <f>-BI29*'Resid - Datos'!$D$73*'Resid - Datos'!$O$7</f>
        <v>0</v>
      </c>
      <c r="BJ58" s="112">
        <f>-BJ29*'Resid - Datos'!$D$73*'Resid - Datos'!$O$7</f>
        <v>0</v>
      </c>
      <c r="BK58" s="112">
        <f>-BK29*'Resid - Datos'!$D$73*'Resid - Datos'!$O$7</f>
        <v>0</v>
      </c>
      <c r="BL58" s="112">
        <f>-BL29*'Resid - Datos'!$D$73*'Resid - Datos'!$O$7</f>
        <v>0</v>
      </c>
      <c r="BM58" s="112">
        <f>-BM29*'Resid - Datos'!$D$73*'Resid - Datos'!$O$7</f>
        <v>0</v>
      </c>
      <c r="BN58" s="112">
        <f>-BN29*'Resid - Datos'!$D$73*'Resid - Datos'!$O$7</f>
        <v>0</v>
      </c>
      <c r="BO58" s="112">
        <f>-BO29*'Resid - Datos'!$D$73*'Resid - Datos'!$O$7</f>
        <v>0</v>
      </c>
      <c r="BP58" s="112">
        <f>-BP29*'Resid - Datos'!$D$73*'Resid - Datos'!$O$7</f>
        <v>0</v>
      </c>
      <c r="BQ58" s="112">
        <f>-BQ29*'Resid - Datos'!$D$73*'Resid - Datos'!$O$7</f>
        <v>0</v>
      </c>
    </row>
    <row r="59" spans="1:69" s="70" customFormat="1" ht="14" hidden="1" outlineLevel="2">
      <c r="A59" s="110" t="str">
        <f>+A30</f>
        <v xml:space="preserve">    Subsuelo 3</v>
      </c>
      <c r="B59" s="641"/>
      <c r="C59" s="633">
        <f t="shared" si="85"/>
        <v>0</v>
      </c>
      <c r="D59" s="112">
        <f>-D30*'Resid - Datos'!$D$74*'Resid - Datos'!$O$7</f>
        <v>0</v>
      </c>
      <c r="E59" s="112">
        <f>-E30*'Resid - Datos'!$D$74*'Resid - Datos'!$O$7</f>
        <v>0</v>
      </c>
      <c r="F59" s="112">
        <f>-F30*'Resid - Datos'!$D$74*'Resid - Datos'!$O$7</f>
        <v>0</v>
      </c>
      <c r="G59" s="112">
        <f>-G30*'Resid - Datos'!$D$74*'Resid - Datos'!$O$7</f>
        <v>0</v>
      </c>
      <c r="H59" s="112">
        <f>-H30*'Resid - Datos'!$D$74*'Resid - Datos'!$O$7</f>
        <v>0</v>
      </c>
      <c r="I59" s="112">
        <f>-I30*'Resid - Datos'!$D$74*'Resid - Datos'!$O$7</f>
        <v>0</v>
      </c>
      <c r="J59" s="112">
        <f>-J30*'Resid - Datos'!$D$74*'Resid - Datos'!$O$7</f>
        <v>0</v>
      </c>
      <c r="K59" s="112">
        <f>-K30*'Resid - Datos'!$D$74*'Resid - Datos'!$O$7</f>
        <v>0</v>
      </c>
      <c r="L59" s="112">
        <f>-L30*'Resid - Datos'!$D$74*'Resid - Datos'!$O$7</f>
        <v>0</v>
      </c>
      <c r="M59" s="112">
        <f>-M30*'Resid - Datos'!$D$74*'Resid - Datos'!$O$7</f>
        <v>0</v>
      </c>
      <c r="N59" s="112">
        <f>-N30*'Resid - Datos'!$D$74*'Resid - Datos'!$O$7</f>
        <v>0</v>
      </c>
      <c r="O59" s="112">
        <f>-O30*'Resid - Datos'!$D$74*'Resid - Datos'!$O$7</f>
        <v>0</v>
      </c>
      <c r="P59" s="112">
        <f>-P30*'Resid - Datos'!$D$74*'Resid - Datos'!$O$7</f>
        <v>0</v>
      </c>
      <c r="Q59" s="112">
        <f>-Q30*'Resid - Datos'!$D$74*'Resid - Datos'!$O$7</f>
        <v>0</v>
      </c>
      <c r="R59" s="112">
        <f>-R30*'Resid - Datos'!$D$74*'Resid - Datos'!$O$7</f>
        <v>0</v>
      </c>
      <c r="S59" s="112">
        <f>-S30*'Resid - Datos'!$D$74*'Resid - Datos'!$O$7</f>
        <v>0</v>
      </c>
      <c r="T59" s="112">
        <f>-T30*'Resid - Datos'!$D$74*'Resid - Datos'!$O$7</f>
        <v>0</v>
      </c>
      <c r="U59" s="112">
        <f>-U30*'Resid - Datos'!$D$74*'Resid - Datos'!$O$7</f>
        <v>0</v>
      </c>
      <c r="V59" s="112">
        <f>-V30*'Resid - Datos'!$D$74*'Resid - Datos'!$O$7</f>
        <v>0</v>
      </c>
      <c r="W59" s="112">
        <f>-W30*'Resid - Datos'!$D$74*'Resid - Datos'!$O$7</f>
        <v>0</v>
      </c>
      <c r="X59" s="112">
        <f>-X30*'Resid - Datos'!$D$74*'Resid - Datos'!$O$7</f>
        <v>0</v>
      </c>
      <c r="Y59" s="112">
        <f>-Y30*'Resid - Datos'!$D$74*'Resid - Datos'!$O$7</f>
        <v>0</v>
      </c>
      <c r="Z59" s="112">
        <f>-Z30*'Resid - Datos'!$D$74*'Resid - Datos'!$O$7</f>
        <v>0</v>
      </c>
      <c r="AA59" s="112">
        <f>-AA30*'Resid - Datos'!$D$74*'Resid - Datos'!$O$7</f>
        <v>0</v>
      </c>
      <c r="AB59" s="112">
        <f>-AB30*'Resid - Datos'!$D$74*'Resid - Datos'!$O$7</f>
        <v>0</v>
      </c>
      <c r="AC59" s="112">
        <f>-AC30*'Resid - Datos'!$D$74*'Resid - Datos'!$O$7</f>
        <v>0</v>
      </c>
      <c r="AD59" s="112">
        <f>-AD30*'Resid - Datos'!$D$74*'Resid - Datos'!$O$7</f>
        <v>0</v>
      </c>
      <c r="AE59" s="112">
        <f>-AE30*'Resid - Datos'!$D$74*'Resid - Datos'!$O$7</f>
        <v>0</v>
      </c>
      <c r="AF59" s="112">
        <f>-AF30*'Resid - Datos'!$D$74*'Resid - Datos'!$O$7</f>
        <v>0</v>
      </c>
      <c r="AG59" s="112">
        <f>-AG30*'Resid - Datos'!$D$74*'Resid - Datos'!$O$7</f>
        <v>0</v>
      </c>
      <c r="AH59" s="112">
        <f>-AH30*'Resid - Datos'!$D$74*'Resid - Datos'!$O$7</f>
        <v>0</v>
      </c>
      <c r="AI59" s="112">
        <f>-AI30*'Resid - Datos'!$D$74*'Resid - Datos'!$O$7</f>
        <v>0</v>
      </c>
      <c r="AJ59" s="112">
        <f>-AJ30*'Resid - Datos'!$D$74*'Resid - Datos'!$O$7</f>
        <v>0</v>
      </c>
      <c r="AK59" s="112">
        <f>-AK30*'Resid - Datos'!$D$74*'Resid - Datos'!$O$7</f>
        <v>0</v>
      </c>
      <c r="AL59" s="112">
        <f>-AL30*'Resid - Datos'!$D$74*'Resid - Datos'!$O$7</f>
        <v>0</v>
      </c>
      <c r="AM59" s="112">
        <f>-AM30*'Resid - Datos'!$D$74*'Resid - Datos'!$O$7</f>
        <v>0</v>
      </c>
      <c r="AN59" s="112">
        <f>-AN30*'Resid - Datos'!$D$74*'Resid - Datos'!$O$7</f>
        <v>0</v>
      </c>
      <c r="AO59" s="112">
        <f>-AO30*'Resid - Datos'!$D$74*'Resid - Datos'!$O$7</f>
        <v>0</v>
      </c>
      <c r="AP59" s="112">
        <f>-AP30*'Resid - Datos'!$D$74*'Resid - Datos'!$O$7</f>
        <v>0</v>
      </c>
      <c r="AQ59" s="112">
        <f>-AQ30*'Resid - Datos'!$D$74*'Resid - Datos'!$O$7</f>
        <v>0</v>
      </c>
      <c r="AR59" s="112">
        <f>-AR30*'Resid - Datos'!$D$74*'Resid - Datos'!$O$7</f>
        <v>0</v>
      </c>
      <c r="AS59" s="112">
        <f>-AS30*'Resid - Datos'!$D$74*'Resid - Datos'!$O$7</f>
        <v>0</v>
      </c>
      <c r="AT59" s="112">
        <f>-AT30*'Resid - Datos'!$D$74*'Resid - Datos'!$O$7</f>
        <v>0</v>
      </c>
      <c r="AU59" s="112">
        <f>-AU30*'Resid - Datos'!$D$74*'Resid - Datos'!$O$7</f>
        <v>0</v>
      </c>
      <c r="AV59" s="112">
        <f>-AV30*'Resid - Datos'!$D$74*'Resid - Datos'!$O$7</f>
        <v>0</v>
      </c>
      <c r="AW59" s="112">
        <f>-AW30*'Resid - Datos'!$D$74*'Resid - Datos'!$O$7</f>
        <v>0</v>
      </c>
      <c r="AX59" s="112">
        <f>-AX30*'Resid - Datos'!$D$74*'Resid - Datos'!$O$7</f>
        <v>0</v>
      </c>
      <c r="AY59" s="112">
        <f>-AY30*'Resid - Datos'!$D$74*'Resid - Datos'!$O$7</f>
        <v>0</v>
      </c>
      <c r="AZ59" s="112">
        <f>-AZ30*'Resid - Datos'!$D$74*'Resid - Datos'!$O$7</f>
        <v>0</v>
      </c>
      <c r="BA59" s="112">
        <f>-BA30*'Resid - Datos'!$D$74*'Resid - Datos'!$O$7</f>
        <v>0</v>
      </c>
      <c r="BB59" s="112">
        <f>-BB30*'Resid - Datos'!$D$74*'Resid - Datos'!$O$7</f>
        <v>0</v>
      </c>
      <c r="BC59" s="112">
        <f>-BC30*'Resid - Datos'!$D$74*'Resid - Datos'!$O$7</f>
        <v>0</v>
      </c>
      <c r="BD59" s="112">
        <f>-BD30*'Resid - Datos'!$D$74*'Resid - Datos'!$O$7</f>
        <v>0</v>
      </c>
      <c r="BE59" s="112">
        <f>-BE30*'Resid - Datos'!$D$74*'Resid - Datos'!$O$7</f>
        <v>0</v>
      </c>
      <c r="BF59" s="112">
        <f>-BF30*'Resid - Datos'!$D$74*'Resid - Datos'!$O$7</f>
        <v>0</v>
      </c>
      <c r="BG59" s="112">
        <f>-BG30*'Resid - Datos'!$D$74*'Resid - Datos'!$O$7</f>
        <v>0</v>
      </c>
      <c r="BH59" s="112">
        <f>-BH30*'Resid - Datos'!$D$74*'Resid - Datos'!$O$7</f>
        <v>0</v>
      </c>
      <c r="BI59" s="112">
        <f>-BI30*'Resid - Datos'!$D$74*'Resid - Datos'!$O$7</f>
        <v>0</v>
      </c>
      <c r="BJ59" s="112">
        <f>-BJ30*'Resid - Datos'!$D$74*'Resid - Datos'!$O$7</f>
        <v>0</v>
      </c>
      <c r="BK59" s="112">
        <f>-BK30*'Resid - Datos'!$D$74*'Resid - Datos'!$O$7</f>
        <v>0</v>
      </c>
      <c r="BL59" s="112">
        <f>-BL30*'Resid - Datos'!$D$74*'Resid - Datos'!$O$7</f>
        <v>0</v>
      </c>
      <c r="BM59" s="112">
        <f>-BM30*'Resid - Datos'!$D$74*'Resid - Datos'!$O$7</f>
        <v>0</v>
      </c>
      <c r="BN59" s="112">
        <f>-BN30*'Resid - Datos'!$D$74*'Resid - Datos'!$O$7</f>
        <v>0</v>
      </c>
      <c r="BO59" s="112">
        <f>-BO30*'Resid - Datos'!$D$74*'Resid - Datos'!$O$7</f>
        <v>0</v>
      </c>
      <c r="BP59" s="112">
        <f>-BP30*'Resid - Datos'!$D$74*'Resid - Datos'!$O$7</f>
        <v>0</v>
      </c>
      <c r="BQ59" s="112">
        <f>-BQ30*'Resid - Datos'!$D$74*'Resid - Datos'!$O$7</f>
        <v>0</v>
      </c>
    </row>
    <row r="60" spans="1:69" s="70" customFormat="1" ht="14" hidden="1" outlineLevel="2">
      <c r="A60" s="110" t="str">
        <f>+A31</f>
        <v xml:space="preserve">    Subsuelo 4</v>
      </c>
      <c r="B60" s="641"/>
      <c r="C60" s="633">
        <f t="shared" si="85"/>
        <v>0</v>
      </c>
      <c r="D60" s="112">
        <f>-D31*'Resid - Datos'!$D$75*'Resid - Datos'!$O$7</f>
        <v>0</v>
      </c>
      <c r="E60" s="112">
        <f>-E31*'Resid - Datos'!$D$75*'Resid - Datos'!$O$7</f>
        <v>0</v>
      </c>
      <c r="F60" s="112">
        <f>-F31*'Resid - Datos'!$D$75*'Resid - Datos'!$O$7</f>
        <v>0</v>
      </c>
      <c r="G60" s="112">
        <f>-G31*'Resid - Datos'!$D$75*'Resid - Datos'!$O$7</f>
        <v>0</v>
      </c>
      <c r="H60" s="112">
        <f>-H31*'Resid - Datos'!$D$75*'Resid - Datos'!$O$7</f>
        <v>0</v>
      </c>
      <c r="I60" s="112">
        <f>-I31*'Resid - Datos'!$D$75*'Resid - Datos'!$O$7</f>
        <v>0</v>
      </c>
      <c r="J60" s="112">
        <f>-J31*'Resid - Datos'!$D$75*'Resid - Datos'!$O$7</f>
        <v>0</v>
      </c>
      <c r="K60" s="112">
        <f>-K31*'Resid - Datos'!$D$75*'Resid - Datos'!$O$7</f>
        <v>0</v>
      </c>
      <c r="L60" s="112">
        <f>-L31*'Resid - Datos'!$D$75*'Resid - Datos'!$O$7</f>
        <v>0</v>
      </c>
      <c r="M60" s="112">
        <f>-M31*'Resid - Datos'!$D$75*'Resid - Datos'!$O$7</f>
        <v>0</v>
      </c>
      <c r="N60" s="112">
        <f>-N31*'Resid - Datos'!$D$75*'Resid - Datos'!$O$7</f>
        <v>0</v>
      </c>
      <c r="O60" s="112">
        <f>-O31*'Resid - Datos'!$D$75*'Resid - Datos'!$O$7</f>
        <v>0</v>
      </c>
      <c r="P60" s="112">
        <f>-P31*'Resid - Datos'!$D$75*'Resid - Datos'!$O$7</f>
        <v>0</v>
      </c>
      <c r="Q60" s="112">
        <f>-Q31*'Resid - Datos'!$D$75*'Resid - Datos'!$O$7</f>
        <v>0</v>
      </c>
      <c r="R60" s="112">
        <f>-R31*'Resid - Datos'!$D$75*'Resid - Datos'!$O$7</f>
        <v>0</v>
      </c>
      <c r="S60" s="112">
        <f>-S31*'Resid - Datos'!$D$75*'Resid - Datos'!$O$7</f>
        <v>0</v>
      </c>
      <c r="T60" s="112">
        <f>-T31*'Resid - Datos'!$D$75*'Resid - Datos'!$O$7</f>
        <v>0</v>
      </c>
      <c r="U60" s="112">
        <f>-U31*'Resid - Datos'!$D$75*'Resid - Datos'!$O$7</f>
        <v>0</v>
      </c>
      <c r="V60" s="112">
        <f>-V31*'Resid - Datos'!$D$75*'Resid - Datos'!$O$7</f>
        <v>0</v>
      </c>
      <c r="W60" s="112">
        <f>-W31*'Resid - Datos'!$D$75*'Resid - Datos'!$O$7</f>
        <v>0</v>
      </c>
      <c r="X60" s="112">
        <f>-X31*'Resid - Datos'!$D$75*'Resid - Datos'!$O$7</f>
        <v>0</v>
      </c>
      <c r="Y60" s="112">
        <f>-Y31*'Resid - Datos'!$D$75*'Resid - Datos'!$O$7</f>
        <v>0</v>
      </c>
      <c r="Z60" s="112">
        <f>-Z31*'Resid - Datos'!$D$75*'Resid - Datos'!$O$7</f>
        <v>0</v>
      </c>
      <c r="AA60" s="112">
        <f>-AA31*'Resid - Datos'!$D$75*'Resid - Datos'!$O$7</f>
        <v>0</v>
      </c>
      <c r="AB60" s="112">
        <f>-AB31*'Resid - Datos'!$D$75*'Resid - Datos'!$O$7</f>
        <v>0</v>
      </c>
      <c r="AC60" s="112">
        <f>-AC31*'Resid - Datos'!$D$75*'Resid - Datos'!$O$7</f>
        <v>0</v>
      </c>
      <c r="AD60" s="112">
        <f>-AD31*'Resid - Datos'!$D$75*'Resid - Datos'!$O$7</f>
        <v>0</v>
      </c>
      <c r="AE60" s="112">
        <f>-AE31*'Resid - Datos'!$D$75*'Resid - Datos'!$O$7</f>
        <v>0</v>
      </c>
      <c r="AF60" s="112">
        <f>-AF31*'Resid - Datos'!$D$75*'Resid - Datos'!$O$7</f>
        <v>0</v>
      </c>
      <c r="AG60" s="112">
        <f>-AG31*'Resid - Datos'!$D$75*'Resid - Datos'!$O$7</f>
        <v>0</v>
      </c>
      <c r="AH60" s="112">
        <f>-AH31*'Resid - Datos'!$D$75*'Resid - Datos'!$O$7</f>
        <v>0</v>
      </c>
      <c r="AI60" s="112">
        <f>-AI31*'Resid - Datos'!$D$75*'Resid - Datos'!$O$7</f>
        <v>0</v>
      </c>
      <c r="AJ60" s="112">
        <f>-AJ31*'Resid - Datos'!$D$75*'Resid - Datos'!$O$7</f>
        <v>0</v>
      </c>
      <c r="AK60" s="112">
        <f>-AK31*'Resid - Datos'!$D$75*'Resid - Datos'!$O$7</f>
        <v>0</v>
      </c>
      <c r="AL60" s="112">
        <f>-AL31*'Resid - Datos'!$D$75*'Resid - Datos'!$O$7</f>
        <v>0</v>
      </c>
      <c r="AM60" s="112">
        <f>-AM31*'Resid - Datos'!$D$75*'Resid - Datos'!$O$7</f>
        <v>0</v>
      </c>
      <c r="AN60" s="112">
        <f>-AN31*'Resid - Datos'!$D$75*'Resid - Datos'!$O$7</f>
        <v>0</v>
      </c>
      <c r="AO60" s="112">
        <f>-AO31*'Resid - Datos'!$D$75*'Resid - Datos'!$O$7</f>
        <v>0</v>
      </c>
      <c r="AP60" s="112">
        <f>-AP31*'Resid - Datos'!$D$75*'Resid - Datos'!$O$7</f>
        <v>0</v>
      </c>
      <c r="AQ60" s="112">
        <f>-AQ31*'Resid - Datos'!$D$75*'Resid - Datos'!$O$7</f>
        <v>0</v>
      </c>
      <c r="AR60" s="112">
        <f>-AR31*'Resid - Datos'!$D$75*'Resid - Datos'!$O$7</f>
        <v>0</v>
      </c>
      <c r="AS60" s="112">
        <f>-AS31*'Resid - Datos'!$D$75*'Resid - Datos'!$O$7</f>
        <v>0</v>
      </c>
      <c r="AT60" s="112">
        <f>-AT31*'Resid - Datos'!$D$75*'Resid - Datos'!$O$7</f>
        <v>0</v>
      </c>
      <c r="AU60" s="112">
        <f>-AU31*'Resid - Datos'!$D$75*'Resid - Datos'!$O$7</f>
        <v>0</v>
      </c>
      <c r="AV60" s="112">
        <f>-AV31*'Resid - Datos'!$D$75*'Resid - Datos'!$O$7</f>
        <v>0</v>
      </c>
      <c r="AW60" s="112">
        <f>-AW31*'Resid - Datos'!$D$75*'Resid - Datos'!$O$7</f>
        <v>0</v>
      </c>
      <c r="AX60" s="112">
        <f>-AX31*'Resid - Datos'!$D$75*'Resid - Datos'!$O$7</f>
        <v>0</v>
      </c>
      <c r="AY60" s="112">
        <f>-AY31*'Resid - Datos'!$D$75*'Resid - Datos'!$O$7</f>
        <v>0</v>
      </c>
      <c r="AZ60" s="112">
        <f>-AZ31*'Resid - Datos'!$D$75*'Resid - Datos'!$O$7</f>
        <v>0</v>
      </c>
      <c r="BA60" s="112">
        <f>-BA31*'Resid - Datos'!$D$75*'Resid - Datos'!$O$7</f>
        <v>0</v>
      </c>
      <c r="BB60" s="112">
        <f>-BB31*'Resid - Datos'!$D$75*'Resid - Datos'!$O$7</f>
        <v>0</v>
      </c>
      <c r="BC60" s="112">
        <f>-BC31*'Resid - Datos'!$D$75*'Resid - Datos'!$O$7</f>
        <v>0</v>
      </c>
      <c r="BD60" s="112">
        <f>-BD31*'Resid - Datos'!$D$75*'Resid - Datos'!$O$7</f>
        <v>0</v>
      </c>
      <c r="BE60" s="112">
        <f>-BE31*'Resid - Datos'!$D$75*'Resid - Datos'!$O$7</f>
        <v>0</v>
      </c>
      <c r="BF60" s="112">
        <f>-BF31*'Resid - Datos'!$D$75*'Resid - Datos'!$O$7</f>
        <v>0</v>
      </c>
      <c r="BG60" s="112">
        <f>-BG31*'Resid - Datos'!$D$75*'Resid - Datos'!$O$7</f>
        <v>0</v>
      </c>
      <c r="BH60" s="112">
        <f>-BH31*'Resid - Datos'!$D$75*'Resid - Datos'!$O$7</f>
        <v>0</v>
      </c>
      <c r="BI60" s="112">
        <f>-BI31*'Resid - Datos'!$D$75*'Resid - Datos'!$O$7</f>
        <v>0</v>
      </c>
      <c r="BJ60" s="112">
        <f>-BJ31*'Resid - Datos'!$D$75*'Resid - Datos'!$O$7</f>
        <v>0</v>
      </c>
      <c r="BK60" s="112">
        <f>-BK31*'Resid - Datos'!$D$75*'Resid - Datos'!$O$7</f>
        <v>0</v>
      </c>
      <c r="BL60" s="112">
        <f>-BL31*'Resid - Datos'!$D$75*'Resid - Datos'!$O$7</f>
        <v>0</v>
      </c>
      <c r="BM60" s="112">
        <f>-BM31*'Resid - Datos'!$D$75*'Resid - Datos'!$O$7</f>
        <v>0</v>
      </c>
      <c r="BN60" s="112">
        <f>-BN31*'Resid - Datos'!$D$75*'Resid - Datos'!$O$7</f>
        <v>0</v>
      </c>
      <c r="BO60" s="112">
        <f>-BO31*'Resid - Datos'!$D$75*'Resid - Datos'!$O$7</f>
        <v>0</v>
      </c>
      <c r="BP60" s="112">
        <f>-BP31*'Resid - Datos'!$D$75*'Resid - Datos'!$O$7</f>
        <v>0</v>
      </c>
      <c r="BQ60" s="112">
        <f>-BQ31*'Resid - Datos'!$D$75*'Resid - Datos'!$O$7</f>
        <v>0</v>
      </c>
    </row>
    <row r="61" spans="1:69" s="70" customFormat="1" ht="14" hidden="1" outlineLevel="2">
      <c r="A61" s="109" t="str">
        <f>+A32</f>
        <v xml:space="preserve">    Basamento 1</v>
      </c>
      <c r="B61" s="640"/>
      <c r="C61" s="610">
        <f t="shared" si="85"/>
        <v>-338625</v>
      </c>
      <c r="D61" s="83">
        <f>-D32*'Resid - Datos'!$G$72*'Resid - Datos'!$O$7</f>
        <v>0</v>
      </c>
      <c r="E61" s="83">
        <f>-E32*'Resid - Datos'!$G$72*'Resid - Datos'!$O$7</f>
        <v>0</v>
      </c>
      <c r="F61" s="83">
        <f>-F32*'Resid - Datos'!$G$72*'Resid - Datos'!$O$7</f>
        <v>0</v>
      </c>
      <c r="G61" s="83">
        <f>-G32*'Resid - Datos'!$G$72*'Resid - Datos'!$O$7</f>
        <v>0</v>
      </c>
      <c r="H61" s="83">
        <f>-H32*'Resid - Datos'!$G$72*'Resid - Datos'!$O$7</f>
        <v>0</v>
      </c>
      <c r="I61" s="83">
        <f>-I32*'Resid - Datos'!$G$72*'Resid - Datos'!$O$7</f>
        <v>0</v>
      </c>
      <c r="J61" s="83">
        <f>-J32*'Resid - Datos'!$G$72*'Resid - Datos'!$O$7</f>
        <v>0</v>
      </c>
      <c r="K61" s="83">
        <f>-K32*'Resid - Datos'!$G$72*'Resid - Datos'!$O$7</f>
        <v>0</v>
      </c>
      <c r="L61" s="83">
        <f>-L32*'Resid - Datos'!$G$72*'Resid - Datos'!$O$7</f>
        <v>0</v>
      </c>
      <c r="M61" s="83">
        <f>-M32*'Resid - Datos'!$G$72*'Resid - Datos'!$O$7</f>
        <v>0</v>
      </c>
      <c r="N61" s="83">
        <f>-N32*'Resid - Datos'!$G$72*'Resid - Datos'!$O$7</f>
        <v>0</v>
      </c>
      <c r="O61" s="83">
        <f>-O32*'Resid - Datos'!$G$72*'Resid - Datos'!$O$7</f>
        <v>0</v>
      </c>
      <c r="P61" s="83">
        <f>-P32*'Resid - Datos'!$G$72*'Resid - Datos'!$O$7</f>
        <v>-67725</v>
      </c>
      <c r="Q61" s="83">
        <f>-Q32*'Resid - Datos'!$G$72*'Resid - Datos'!$O$7</f>
        <v>-67725</v>
      </c>
      <c r="R61" s="83">
        <f>-R32*'Resid - Datos'!$G$72*'Resid - Datos'!$O$7</f>
        <v>-67725</v>
      </c>
      <c r="S61" s="83">
        <f>-S32*'Resid - Datos'!$G$72*'Resid - Datos'!$O$7</f>
        <v>-33862.5</v>
      </c>
      <c r="T61" s="83">
        <f>-T32*'Resid - Datos'!$G$72*'Resid - Datos'!$O$7</f>
        <v>-33862.5</v>
      </c>
      <c r="U61" s="83">
        <f>-U32*'Resid - Datos'!$G$72*'Resid - Datos'!$O$7</f>
        <v>0</v>
      </c>
      <c r="V61" s="83">
        <f>-V32*'Resid - Datos'!$G$72*'Resid - Datos'!$O$7</f>
        <v>0</v>
      </c>
      <c r="W61" s="83">
        <f>-W32*'Resid - Datos'!$G$72*'Resid - Datos'!$O$7</f>
        <v>0</v>
      </c>
      <c r="X61" s="83">
        <f>-X32*'Resid - Datos'!$G$72*'Resid - Datos'!$O$7</f>
        <v>0</v>
      </c>
      <c r="Y61" s="83">
        <f>-Y32*'Resid - Datos'!$G$72*'Resid - Datos'!$O$7</f>
        <v>0</v>
      </c>
      <c r="Z61" s="83">
        <f>-Z32*'Resid - Datos'!$G$72*'Resid - Datos'!$O$7</f>
        <v>0</v>
      </c>
      <c r="AA61" s="83">
        <f>-AA32*'Resid - Datos'!$G$72*'Resid - Datos'!$O$7</f>
        <v>0</v>
      </c>
      <c r="AB61" s="83">
        <f>-AB32*'Resid - Datos'!$G$72*'Resid - Datos'!$O$7</f>
        <v>0</v>
      </c>
      <c r="AC61" s="83">
        <f>-AC32*'Resid - Datos'!$G$72*'Resid - Datos'!$O$7</f>
        <v>0</v>
      </c>
      <c r="AD61" s="83">
        <f>-AD32*'Resid - Datos'!$G$72*'Resid - Datos'!$O$7</f>
        <v>0</v>
      </c>
      <c r="AE61" s="83">
        <f>-AE32*'Resid - Datos'!$G$72*'Resid - Datos'!$O$7</f>
        <v>0</v>
      </c>
      <c r="AF61" s="83">
        <f>-AF32*'Resid - Datos'!$G$72*'Resid - Datos'!$O$7</f>
        <v>0</v>
      </c>
      <c r="AG61" s="83">
        <f>-AG32*'Resid - Datos'!$G$72*'Resid - Datos'!$O$7</f>
        <v>0</v>
      </c>
      <c r="AH61" s="83">
        <f>-AH32*'Resid - Datos'!$G$72*'Resid - Datos'!$O$7</f>
        <v>0</v>
      </c>
      <c r="AI61" s="83">
        <f>-AI32*'Resid - Datos'!$G$72*'Resid - Datos'!$O$7</f>
        <v>0</v>
      </c>
      <c r="AJ61" s="83">
        <f>-AJ32*'Resid - Datos'!$G$72*'Resid - Datos'!$O$7</f>
        <v>0</v>
      </c>
      <c r="AK61" s="83">
        <f>-AK32*'Resid - Datos'!$G$72*'Resid - Datos'!$O$7</f>
        <v>0</v>
      </c>
      <c r="AL61" s="83">
        <f>-AL32*'Resid - Datos'!$G$72*'Resid - Datos'!$O$7</f>
        <v>-33862.5</v>
      </c>
      <c r="AM61" s="83">
        <f>-AM32*'Resid - Datos'!$G$72*'Resid - Datos'!$O$7</f>
        <v>-33862.5</v>
      </c>
      <c r="AN61" s="83">
        <f>-AN32*'Resid - Datos'!$G$72*'Resid - Datos'!$O$7</f>
        <v>0</v>
      </c>
      <c r="AO61" s="83">
        <f>-AO32*'Resid - Datos'!$G$72*'Resid - Datos'!$O$7</f>
        <v>0</v>
      </c>
      <c r="AP61" s="83">
        <f>-AP32*'Resid - Datos'!$G$72*'Resid - Datos'!$O$7</f>
        <v>0</v>
      </c>
      <c r="AQ61" s="83">
        <f>-AQ32*'Resid - Datos'!$G$72*'Resid - Datos'!$O$7</f>
        <v>0</v>
      </c>
      <c r="AR61" s="83">
        <f>-AR32*'Resid - Datos'!$G$72*'Resid - Datos'!$O$7</f>
        <v>0</v>
      </c>
      <c r="AS61" s="83">
        <f>-AS32*'Resid - Datos'!$G$72*'Resid - Datos'!$O$7</f>
        <v>0</v>
      </c>
      <c r="AT61" s="83">
        <f>-AT32*'Resid - Datos'!$G$72*'Resid - Datos'!$O$7</f>
        <v>0</v>
      </c>
      <c r="AU61" s="83">
        <f>-AU32*'Resid - Datos'!$G$72*'Resid - Datos'!$O$7</f>
        <v>0</v>
      </c>
      <c r="AV61" s="83">
        <f>-AV32*'Resid - Datos'!$G$72*'Resid - Datos'!$O$7</f>
        <v>0</v>
      </c>
      <c r="AW61" s="83">
        <f>-AW32*'Resid - Datos'!$G$72*'Resid - Datos'!$O$7</f>
        <v>0</v>
      </c>
      <c r="AX61" s="83">
        <f>-AX32*'Resid - Datos'!$G$72*'Resid - Datos'!$O$7</f>
        <v>0</v>
      </c>
      <c r="AY61" s="83">
        <f>-AY32*'Resid - Datos'!$G$72*'Resid - Datos'!$O$7</f>
        <v>0</v>
      </c>
      <c r="AZ61" s="83">
        <f>-AZ32*'Resid - Datos'!$G$72*'Resid - Datos'!$O$7</f>
        <v>0</v>
      </c>
      <c r="BA61" s="83">
        <f>-BA32*'Resid - Datos'!$G$72*'Resid - Datos'!$O$7</f>
        <v>0</v>
      </c>
      <c r="BB61" s="83">
        <f>-BB32*'Resid - Datos'!$G$72*'Resid - Datos'!$O$7</f>
        <v>0</v>
      </c>
      <c r="BC61" s="83">
        <f>-BC32*'Resid - Datos'!$G$72*'Resid - Datos'!$O$7</f>
        <v>0</v>
      </c>
      <c r="BD61" s="83">
        <f>-BD32*'Resid - Datos'!$G$72*'Resid - Datos'!$O$7</f>
        <v>0</v>
      </c>
      <c r="BE61" s="83">
        <f>-BE32*'Resid - Datos'!$G$72*'Resid - Datos'!$O$7</f>
        <v>0</v>
      </c>
      <c r="BF61" s="83">
        <f>-BF32*'Resid - Datos'!$G$72*'Resid - Datos'!$O$7</f>
        <v>0</v>
      </c>
      <c r="BG61" s="83">
        <f>-BG32*'Resid - Datos'!$G$72*'Resid - Datos'!$O$7</f>
        <v>0</v>
      </c>
      <c r="BH61" s="83">
        <f>-BH32*'Resid - Datos'!$G$72*'Resid - Datos'!$O$7</f>
        <v>0</v>
      </c>
      <c r="BI61" s="83">
        <f>-BI32*'Resid - Datos'!$G$72*'Resid - Datos'!$O$7</f>
        <v>0</v>
      </c>
      <c r="BJ61" s="83">
        <f>-BJ32*'Resid - Datos'!$G$72*'Resid - Datos'!$O$7</f>
        <v>0</v>
      </c>
      <c r="BK61" s="83">
        <f>-BK32*'Resid - Datos'!$G$72*'Resid - Datos'!$O$7</f>
        <v>0</v>
      </c>
      <c r="BL61" s="83">
        <f>-BL32*'Resid - Datos'!$G$72*'Resid - Datos'!$O$7</f>
        <v>0</v>
      </c>
      <c r="BM61" s="83">
        <f>-BM32*'Resid - Datos'!$G$72*'Resid - Datos'!$O$7</f>
        <v>0</v>
      </c>
      <c r="BN61" s="83">
        <f>-BN32*'Resid - Datos'!$G$72*'Resid - Datos'!$O$7</f>
        <v>0</v>
      </c>
      <c r="BO61" s="83">
        <f>-BO32*'Resid - Datos'!$G$72*'Resid - Datos'!$O$7</f>
        <v>0</v>
      </c>
      <c r="BP61" s="83">
        <f>-BP32*'Resid - Datos'!$G$72*'Resid - Datos'!$O$7</f>
        <v>0</v>
      </c>
      <c r="BQ61" s="83">
        <f>-BQ32*'Resid - Datos'!$G$72*'Resid - Datos'!$O$7</f>
        <v>0</v>
      </c>
    </row>
    <row r="62" spans="1:69" s="70" customFormat="1" ht="14" hidden="1" outlineLevel="2">
      <c r="A62" s="110" t="str">
        <f>+A33</f>
        <v xml:space="preserve">    Basamento 2</v>
      </c>
      <c r="B62" s="641"/>
      <c r="C62" s="633">
        <f t="shared" si="85"/>
        <v>-331100.00000000006</v>
      </c>
      <c r="D62" s="112">
        <f>-D33*'Resid - Datos'!$G$73*'Resid - Datos'!$O$7</f>
        <v>0</v>
      </c>
      <c r="E62" s="112">
        <f>-E33*'Resid - Datos'!$G$73*'Resid - Datos'!$O$7</f>
        <v>0</v>
      </c>
      <c r="F62" s="112">
        <f>-F33*'Resid - Datos'!$G$73*'Resid - Datos'!$O$7</f>
        <v>0</v>
      </c>
      <c r="G62" s="112">
        <f>-G33*'Resid - Datos'!$G$73*'Resid - Datos'!$O$7</f>
        <v>0</v>
      </c>
      <c r="H62" s="112">
        <f>-H33*'Resid - Datos'!$G$73*'Resid - Datos'!$O$7</f>
        <v>0</v>
      </c>
      <c r="I62" s="112">
        <f>-I33*'Resid - Datos'!$G$73*'Resid - Datos'!$O$7</f>
        <v>0</v>
      </c>
      <c r="J62" s="112">
        <f>-J33*'Resid - Datos'!$G$73*'Resid - Datos'!$O$7</f>
        <v>0</v>
      </c>
      <c r="K62" s="112">
        <f>-K33*'Resid - Datos'!$G$73*'Resid - Datos'!$O$7</f>
        <v>0</v>
      </c>
      <c r="L62" s="112">
        <f>-L33*'Resid - Datos'!$G$73*'Resid - Datos'!$O$7</f>
        <v>0</v>
      </c>
      <c r="M62" s="112">
        <f>-M33*'Resid - Datos'!$G$73*'Resid - Datos'!$O$7</f>
        <v>0</v>
      </c>
      <c r="N62" s="112">
        <f>-N33*'Resid - Datos'!$G$73*'Resid - Datos'!$O$7</f>
        <v>0</v>
      </c>
      <c r="O62" s="112">
        <f>-O33*'Resid - Datos'!$G$73*'Resid - Datos'!$O$7</f>
        <v>0</v>
      </c>
      <c r="P62" s="112">
        <f>-P33*'Resid - Datos'!$G$73*'Resid - Datos'!$O$7</f>
        <v>-66220.000000000015</v>
      </c>
      <c r="Q62" s="112">
        <f>-Q33*'Resid - Datos'!$G$73*'Resid - Datos'!$O$7</f>
        <v>-66220.000000000015</v>
      </c>
      <c r="R62" s="112">
        <f>-R33*'Resid - Datos'!$G$73*'Resid - Datos'!$O$7</f>
        <v>-66220.000000000015</v>
      </c>
      <c r="S62" s="112">
        <f>-S33*'Resid - Datos'!$G$73*'Resid - Datos'!$O$7</f>
        <v>-33110.000000000007</v>
      </c>
      <c r="T62" s="112">
        <f>-T33*'Resid - Datos'!$G$73*'Resid - Datos'!$O$7</f>
        <v>-33110.000000000007</v>
      </c>
      <c r="U62" s="112">
        <f>-U33*'Resid - Datos'!$G$73*'Resid - Datos'!$O$7</f>
        <v>0</v>
      </c>
      <c r="V62" s="112">
        <f>-V33*'Resid - Datos'!$G$73*'Resid - Datos'!$O$7</f>
        <v>0</v>
      </c>
      <c r="W62" s="112">
        <f>-W33*'Resid - Datos'!$G$73*'Resid - Datos'!$O$7</f>
        <v>0</v>
      </c>
      <c r="X62" s="112">
        <f>-X33*'Resid - Datos'!$G$73*'Resid - Datos'!$O$7</f>
        <v>0</v>
      </c>
      <c r="Y62" s="112">
        <f>-Y33*'Resid - Datos'!$G$73*'Resid - Datos'!$O$7</f>
        <v>0</v>
      </c>
      <c r="Z62" s="112">
        <f>-Z33*'Resid - Datos'!$G$73*'Resid - Datos'!$O$7</f>
        <v>0</v>
      </c>
      <c r="AA62" s="112">
        <f>-AA33*'Resid - Datos'!$G$73*'Resid - Datos'!$O$7</f>
        <v>0</v>
      </c>
      <c r="AB62" s="112">
        <f>-AB33*'Resid - Datos'!$G$73*'Resid - Datos'!$O$7</f>
        <v>0</v>
      </c>
      <c r="AC62" s="112">
        <f>-AC33*'Resid - Datos'!$G$73*'Resid - Datos'!$O$7</f>
        <v>0</v>
      </c>
      <c r="AD62" s="112">
        <f>-AD33*'Resid - Datos'!$G$73*'Resid - Datos'!$O$7</f>
        <v>0</v>
      </c>
      <c r="AE62" s="112">
        <f>-AE33*'Resid - Datos'!$G$73*'Resid - Datos'!$O$7</f>
        <v>0</v>
      </c>
      <c r="AF62" s="112">
        <f>-AF33*'Resid - Datos'!$G$73*'Resid - Datos'!$O$7</f>
        <v>0</v>
      </c>
      <c r="AG62" s="112">
        <f>-AG33*'Resid - Datos'!$G$73*'Resid - Datos'!$O$7</f>
        <v>0</v>
      </c>
      <c r="AH62" s="112">
        <f>-AH33*'Resid - Datos'!$G$73*'Resid - Datos'!$O$7</f>
        <v>0</v>
      </c>
      <c r="AI62" s="112">
        <f>-AI33*'Resid - Datos'!$G$73*'Resid - Datos'!$O$7</f>
        <v>0</v>
      </c>
      <c r="AJ62" s="112">
        <f>-AJ33*'Resid - Datos'!$G$73*'Resid - Datos'!$O$7</f>
        <v>0</v>
      </c>
      <c r="AK62" s="112">
        <f>-AK33*'Resid - Datos'!$G$73*'Resid - Datos'!$O$7</f>
        <v>0</v>
      </c>
      <c r="AL62" s="112">
        <f>-AL33*'Resid - Datos'!$G$73*'Resid - Datos'!$O$7</f>
        <v>0</v>
      </c>
      <c r="AM62" s="112">
        <f>-AM33*'Resid - Datos'!$G$73*'Resid - Datos'!$O$7</f>
        <v>0</v>
      </c>
      <c r="AN62" s="112">
        <f>-AN33*'Resid - Datos'!$G$73*'Resid - Datos'!$O$7</f>
        <v>0</v>
      </c>
      <c r="AO62" s="112">
        <f>-AO33*'Resid - Datos'!$G$73*'Resid - Datos'!$O$7</f>
        <v>0</v>
      </c>
      <c r="AP62" s="112">
        <f>-AP33*'Resid - Datos'!$G$73*'Resid - Datos'!$O$7</f>
        <v>0</v>
      </c>
      <c r="AQ62" s="112">
        <f>-AQ33*'Resid - Datos'!$G$73*'Resid - Datos'!$O$7</f>
        <v>0</v>
      </c>
      <c r="AR62" s="112">
        <f>-AR33*'Resid - Datos'!$G$73*'Resid - Datos'!$O$7</f>
        <v>-33110.000000000007</v>
      </c>
      <c r="AS62" s="112">
        <f>-AS33*'Resid - Datos'!$G$73*'Resid - Datos'!$O$7</f>
        <v>-33110.000000000007</v>
      </c>
      <c r="AT62" s="112">
        <f>-AT33*'Resid - Datos'!$G$73*'Resid - Datos'!$O$7</f>
        <v>0</v>
      </c>
      <c r="AU62" s="112">
        <f>-AU33*'Resid - Datos'!$G$73*'Resid - Datos'!$O$7</f>
        <v>0</v>
      </c>
      <c r="AV62" s="112">
        <f>-AV33*'Resid - Datos'!$G$73*'Resid - Datos'!$O$7</f>
        <v>0</v>
      </c>
      <c r="AW62" s="112">
        <f>-AW33*'Resid - Datos'!$G$73*'Resid - Datos'!$O$7</f>
        <v>0</v>
      </c>
      <c r="AX62" s="112">
        <f>-AX33*'Resid - Datos'!$G$73*'Resid - Datos'!$O$7</f>
        <v>0</v>
      </c>
      <c r="AY62" s="112">
        <f>-AY33*'Resid - Datos'!$G$73*'Resid - Datos'!$O$7</f>
        <v>0</v>
      </c>
      <c r="AZ62" s="112">
        <f>-AZ33*'Resid - Datos'!$G$73*'Resid - Datos'!$O$7</f>
        <v>0</v>
      </c>
      <c r="BA62" s="112">
        <f>-BA33*'Resid - Datos'!$G$73*'Resid - Datos'!$O$7</f>
        <v>0</v>
      </c>
      <c r="BB62" s="112">
        <f>-BB33*'Resid - Datos'!$G$73*'Resid - Datos'!$O$7</f>
        <v>0</v>
      </c>
      <c r="BC62" s="112">
        <f>-BC33*'Resid - Datos'!$G$73*'Resid - Datos'!$O$7</f>
        <v>0</v>
      </c>
      <c r="BD62" s="112">
        <f>-BD33*'Resid - Datos'!$G$73*'Resid - Datos'!$O$7</f>
        <v>0</v>
      </c>
      <c r="BE62" s="112">
        <f>-BE33*'Resid - Datos'!$G$73*'Resid - Datos'!$O$7</f>
        <v>0</v>
      </c>
      <c r="BF62" s="112">
        <f>-BF33*'Resid - Datos'!$G$73*'Resid - Datos'!$O$7</f>
        <v>0</v>
      </c>
      <c r="BG62" s="112">
        <f>-BG33*'Resid - Datos'!$G$73*'Resid - Datos'!$O$7</f>
        <v>0</v>
      </c>
      <c r="BH62" s="112">
        <f>-BH33*'Resid - Datos'!$G$73*'Resid - Datos'!$O$7</f>
        <v>0</v>
      </c>
      <c r="BI62" s="112">
        <f>-BI33*'Resid - Datos'!$G$73*'Resid - Datos'!$O$7</f>
        <v>0</v>
      </c>
      <c r="BJ62" s="112">
        <f>-BJ33*'Resid - Datos'!$G$73*'Resid - Datos'!$O$7</f>
        <v>0</v>
      </c>
      <c r="BK62" s="112">
        <f>-BK33*'Resid - Datos'!$G$73*'Resid - Datos'!$O$7</f>
        <v>0</v>
      </c>
      <c r="BL62" s="112">
        <f>-BL33*'Resid - Datos'!$G$73*'Resid - Datos'!$O$7</f>
        <v>0</v>
      </c>
      <c r="BM62" s="112">
        <f>-BM33*'Resid - Datos'!$G$73*'Resid - Datos'!$O$7</f>
        <v>0</v>
      </c>
      <c r="BN62" s="112">
        <f>-BN33*'Resid - Datos'!$G$73*'Resid - Datos'!$O$7</f>
        <v>0</v>
      </c>
      <c r="BO62" s="112">
        <f>-BO33*'Resid - Datos'!$G$73*'Resid - Datos'!$O$7</f>
        <v>0</v>
      </c>
      <c r="BP62" s="112">
        <f>-BP33*'Resid - Datos'!$G$73*'Resid - Datos'!$O$7</f>
        <v>0</v>
      </c>
      <c r="BQ62" s="112">
        <f>-BQ33*'Resid - Datos'!$G$73*'Resid - Datos'!$O$7</f>
        <v>0</v>
      </c>
    </row>
    <row r="63" spans="1:69" s="70" customFormat="1" ht="14" hidden="1" outlineLevel="2">
      <c r="A63" s="110" t="str">
        <f>+A34</f>
        <v xml:space="preserve">    Basamento 3</v>
      </c>
      <c r="B63" s="641"/>
      <c r="C63" s="633">
        <f t="shared" si="85"/>
        <v>-331100.00000000006</v>
      </c>
      <c r="D63" s="112">
        <f>-D34*'Resid - Datos'!$G$74*'Resid - Datos'!$O$7</f>
        <v>0</v>
      </c>
      <c r="E63" s="112">
        <f>-E34*'Resid - Datos'!$G$74*'Resid - Datos'!$O$7</f>
        <v>0</v>
      </c>
      <c r="F63" s="112">
        <f>-F34*'Resid - Datos'!$G$74*'Resid - Datos'!$O$7</f>
        <v>0</v>
      </c>
      <c r="G63" s="112">
        <f>-G34*'Resid - Datos'!$G$74*'Resid - Datos'!$O$7</f>
        <v>0</v>
      </c>
      <c r="H63" s="112">
        <f>-H34*'Resid - Datos'!$G$74*'Resid - Datos'!$O$7</f>
        <v>0</v>
      </c>
      <c r="I63" s="112">
        <f>-I34*'Resid - Datos'!$G$74*'Resid - Datos'!$O$7</f>
        <v>0</v>
      </c>
      <c r="J63" s="112">
        <f>-J34*'Resid - Datos'!$G$74*'Resid - Datos'!$O$7</f>
        <v>0</v>
      </c>
      <c r="K63" s="112">
        <f>-K34*'Resid - Datos'!$G$74*'Resid - Datos'!$O$7</f>
        <v>0</v>
      </c>
      <c r="L63" s="112">
        <f>-L34*'Resid - Datos'!$G$74*'Resid - Datos'!$O$7</f>
        <v>0</v>
      </c>
      <c r="M63" s="112">
        <f>-M34*'Resid - Datos'!$G$74*'Resid - Datos'!$O$7</f>
        <v>0</v>
      </c>
      <c r="N63" s="112">
        <f>-N34*'Resid - Datos'!$G$74*'Resid - Datos'!$O$7</f>
        <v>0</v>
      </c>
      <c r="O63" s="112">
        <f>-O34*'Resid - Datos'!$G$74*'Resid - Datos'!$O$7</f>
        <v>0</v>
      </c>
      <c r="P63" s="112">
        <f>-P34*'Resid - Datos'!$G$74*'Resid - Datos'!$O$7</f>
        <v>0</v>
      </c>
      <c r="Q63" s="112">
        <f>-Q34*'Resid - Datos'!$G$74*'Resid - Datos'!$O$7</f>
        <v>0</v>
      </c>
      <c r="R63" s="112">
        <f>-R34*'Resid - Datos'!$G$74*'Resid - Datos'!$O$7</f>
        <v>0</v>
      </c>
      <c r="S63" s="112">
        <f>-S34*'Resid - Datos'!$G$74*'Resid - Datos'!$O$7</f>
        <v>0</v>
      </c>
      <c r="T63" s="112">
        <f>-T34*'Resid - Datos'!$G$74*'Resid - Datos'!$O$7</f>
        <v>0</v>
      </c>
      <c r="U63" s="112">
        <f>-U34*'Resid - Datos'!$G$74*'Resid - Datos'!$O$7</f>
        <v>0</v>
      </c>
      <c r="V63" s="112">
        <f>-V34*'Resid - Datos'!$G$74*'Resid - Datos'!$O$7</f>
        <v>0</v>
      </c>
      <c r="W63" s="112">
        <f>-W34*'Resid - Datos'!$G$74*'Resid - Datos'!$O$7</f>
        <v>0</v>
      </c>
      <c r="X63" s="112">
        <f>-X34*'Resid - Datos'!$G$74*'Resid - Datos'!$O$7</f>
        <v>0</v>
      </c>
      <c r="Y63" s="112">
        <f>-Y34*'Resid - Datos'!$G$74*'Resid - Datos'!$O$7</f>
        <v>0</v>
      </c>
      <c r="Z63" s="112">
        <f>-Z34*'Resid - Datos'!$G$74*'Resid - Datos'!$O$7</f>
        <v>0</v>
      </c>
      <c r="AA63" s="112">
        <f>-AA34*'Resid - Datos'!$G$74*'Resid - Datos'!$O$7</f>
        <v>0</v>
      </c>
      <c r="AB63" s="112">
        <f>-AB34*'Resid - Datos'!$G$74*'Resid - Datos'!$O$7</f>
        <v>0</v>
      </c>
      <c r="AC63" s="112">
        <f>-AC34*'Resid - Datos'!$G$74*'Resid - Datos'!$O$7</f>
        <v>0</v>
      </c>
      <c r="AD63" s="112">
        <f>-AD34*'Resid - Datos'!$G$74*'Resid - Datos'!$O$7</f>
        <v>0</v>
      </c>
      <c r="AE63" s="112">
        <f>-AE34*'Resid - Datos'!$G$74*'Resid - Datos'!$O$7</f>
        <v>0</v>
      </c>
      <c r="AF63" s="112">
        <f>-AF34*'Resid - Datos'!$G$74*'Resid - Datos'!$O$7</f>
        <v>0</v>
      </c>
      <c r="AG63" s="112">
        <f>-AG34*'Resid - Datos'!$G$74*'Resid - Datos'!$O$7</f>
        <v>0</v>
      </c>
      <c r="AH63" s="112">
        <f>-AH34*'Resid - Datos'!$G$74*'Resid - Datos'!$O$7</f>
        <v>-66220.000000000015</v>
      </c>
      <c r="AI63" s="112">
        <f>-AI34*'Resid - Datos'!$G$74*'Resid - Datos'!$O$7</f>
        <v>-66220.000000000015</v>
      </c>
      <c r="AJ63" s="112">
        <f>-AJ34*'Resid - Datos'!$G$74*'Resid - Datos'!$O$7</f>
        <v>-66220.000000000015</v>
      </c>
      <c r="AK63" s="112">
        <f>-AK34*'Resid - Datos'!$G$74*'Resid - Datos'!$O$7</f>
        <v>-33110.000000000007</v>
      </c>
      <c r="AL63" s="112">
        <f>-AL34*'Resid - Datos'!$G$74*'Resid - Datos'!$O$7</f>
        <v>-33110.000000000007</v>
      </c>
      <c r="AM63" s="112">
        <f>-AM34*'Resid - Datos'!$G$74*'Resid - Datos'!$O$7</f>
        <v>0</v>
      </c>
      <c r="AN63" s="112">
        <f>-AN34*'Resid - Datos'!$G$74*'Resid - Datos'!$O$7</f>
        <v>0</v>
      </c>
      <c r="AO63" s="112">
        <f>-AO34*'Resid - Datos'!$G$74*'Resid - Datos'!$O$7</f>
        <v>0</v>
      </c>
      <c r="AP63" s="112">
        <f>-AP34*'Resid - Datos'!$G$74*'Resid - Datos'!$O$7</f>
        <v>0</v>
      </c>
      <c r="AQ63" s="112">
        <f>-AQ34*'Resid - Datos'!$G$74*'Resid - Datos'!$O$7</f>
        <v>0</v>
      </c>
      <c r="AR63" s="112">
        <f>-AR34*'Resid - Datos'!$G$74*'Resid - Datos'!$O$7</f>
        <v>0</v>
      </c>
      <c r="AS63" s="112">
        <f>-AS34*'Resid - Datos'!$G$74*'Resid - Datos'!$O$7</f>
        <v>0</v>
      </c>
      <c r="AT63" s="112">
        <f>-AT34*'Resid - Datos'!$G$74*'Resid - Datos'!$O$7</f>
        <v>0</v>
      </c>
      <c r="AU63" s="112">
        <f>-AU34*'Resid - Datos'!$G$74*'Resid - Datos'!$O$7</f>
        <v>0</v>
      </c>
      <c r="AV63" s="112">
        <f>-AV34*'Resid - Datos'!$G$74*'Resid - Datos'!$O$7</f>
        <v>0</v>
      </c>
      <c r="AW63" s="112">
        <f>-AW34*'Resid - Datos'!$G$74*'Resid - Datos'!$O$7</f>
        <v>0</v>
      </c>
      <c r="AX63" s="112">
        <f>-AX34*'Resid - Datos'!$G$74*'Resid - Datos'!$O$7</f>
        <v>-33110.000000000007</v>
      </c>
      <c r="AY63" s="112">
        <f>-AY34*'Resid - Datos'!$G$74*'Resid - Datos'!$O$7</f>
        <v>-33110.000000000007</v>
      </c>
      <c r="AZ63" s="112">
        <f>-AZ34*'Resid - Datos'!$G$74*'Resid - Datos'!$O$7</f>
        <v>0</v>
      </c>
      <c r="BA63" s="112">
        <f>-BA34*'Resid - Datos'!$G$74*'Resid - Datos'!$O$7</f>
        <v>0</v>
      </c>
      <c r="BB63" s="112">
        <f>-BB34*'Resid - Datos'!$G$74*'Resid - Datos'!$O$7</f>
        <v>0</v>
      </c>
      <c r="BC63" s="112">
        <f>-BC34*'Resid - Datos'!$G$74*'Resid - Datos'!$O$7</f>
        <v>0</v>
      </c>
      <c r="BD63" s="112">
        <f>-BD34*'Resid - Datos'!$G$74*'Resid - Datos'!$O$7</f>
        <v>0</v>
      </c>
      <c r="BE63" s="112">
        <f>-BE34*'Resid - Datos'!$G$74*'Resid - Datos'!$O$7</f>
        <v>0</v>
      </c>
      <c r="BF63" s="112">
        <f>-BF34*'Resid - Datos'!$G$74*'Resid - Datos'!$O$7</f>
        <v>0</v>
      </c>
      <c r="BG63" s="112">
        <f>-BG34*'Resid - Datos'!$G$74*'Resid - Datos'!$O$7</f>
        <v>0</v>
      </c>
      <c r="BH63" s="112">
        <f>-BH34*'Resid - Datos'!$G$74*'Resid - Datos'!$O$7</f>
        <v>0</v>
      </c>
      <c r="BI63" s="112">
        <f>-BI34*'Resid - Datos'!$G$74*'Resid - Datos'!$O$7</f>
        <v>0</v>
      </c>
      <c r="BJ63" s="112">
        <f>-BJ34*'Resid - Datos'!$G$74*'Resid - Datos'!$O$7</f>
        <v>0</v>
      </c>
      <c r="BK63" s="112">
        <f>-BK34*'Resid - Datos'!$G$74*'Resid - Datos'!$O$7</f>
        <v>0</v>
      </c>
      <c r="BL63" s="112">
        <f>-BL34*'Resid - Datos'!$G$74*'Resid - Datos'!$O$7</f>
        <v>0</v>
      </c>
      <c r="BM63" s="112">
        <f>-BM34*'Resid - Datos'!$G$74*'Resid - Datos'!$O$7</f>
        <v>0</v>
      </c>
      <c r="BN63" s="112">
        <f>-BN34*'Resid - Datos'!$G$74*'Resid - Datos'!$O$7</f>
        <v>0</v>
      </c>
      <c r="BO63" s="112">
        <f>-BO34*'Resid - Datos'!$G$74*'Resid - Datos'!$O$7</f>
        <v>0</v>
      </c>
      <c r="BP63" s="112">
        <f>-BP34*'Resid - Datos'!$G$74*'Resid - Datos'!$O$7</f>
        <v>0</v>
      </c>
      <c r="BQ63" s="112">
        <f>-BQ34*'Resid - Datos'!$G$74*'Resid - Datos'!$O$7</f>
        <v>0</v>
      </c>
    </row>
    <row r="64" spans="1:69" s="70" customFormat="1" ht="14" hidden="1" outlineLevel="2">
      <c r="A64" s="114" t="str">
        <f>+A35</f>
        <v xml:space="preserve">    Basamento 4</v>
      </c>
      <c r="B64" s="642"/>
      <c r="C64" s="612">
        <f t="shared" si="85"/>
        <v>-203175.00000000003</v>
      </c>
      <c r="D64" s="87">
        <f>-D35*'Resid - Datos'!$G$75*'Resid - Datos'!$O$7</f>
        <v>0</v>
      </c>
      <c r="E64" s="87">
        <f>-E35*'Resid - Datos'!$G$75*'Resid - Datos'!$O$7</f>
        <v>0</v>
      </c>
      <c r="F64" s="87">
        <f>-F35*'Resid - Datos'!$G$75*'Resid - Datos'!$O$7</f>
        <v>0</v>
      </c>
      <c r="G64" s="87">
        <f>-G35*'Resid - Datos'!$G$75*'Resid - Datos'!$O$7</f>
        <v>0</v>
      </c>
      <c r="H64" s="87">
        <f>-H35*'Resid - Datos'!$G$75*'Resid - Datos'!$O$7</f>
        <v>0</v>
      </c>
      <c r="I64" s="87">
        <f>-I35*'Resid - Datos'!$G$75*'Resid - Datos'!$O$7</f>
        <v>0</v>
      </c>
      <c r="J64" s="87">
        <f>-J35*'Resid - Datos'!$G$75*'Resid - Datos'!$O$7</f>
        <v>0</v>
      </c>
      <c r="K64" s="87">
        <f>-K35*'Resid - Datos'!$G$75*'Resid - Datos'!$O$7</f>
        <v>0</v>
      </c>
      <c r="L64" s="87">
        <f>-L35*'Resid - Datos'!$G$75*'Resid - Datos'!$O$7</f>
        <v>0</v>
      </c>
      <c r="M64" s="87">
        <f>-M35*'Resid - Datos'!$G$75*'Resid - Datos'!$O$7</f>
        <v>0</v>
      </c>
      <c r="N64" s="87">
        <f>-N35*'Resid - Datos'!$G$75*'Resid - Datos'!$O$7</f>
        <v>0</v>
      </c>
      <c r="O64" s="87">
        <f>-O35*'Resid - Datos'!$G$75*'Resid - Datos'!$O$7</f>
        <v>0</v>
      </c>
      <c r="P64" s="87">
        <f>-P35*'Resid - Datos'!$G$75*'Resid - Datos'!$O$7</f>
        <v>0</v>
      </c>
      <c r="Q64" s="87">
        <f>-Q35*'Resid - Datos'!$G$75*'Resid - Datos'!$O$7</f>
        <v>0</v>
      </c>
      <c r="R64" s="87">
        <f>-R35*'Resid - Datos'!$G$75*'Resid - Datos'!$O$7</f>
        <v>0</v>
      </c>
      <c r="S64" s="87">
        <f>-S35*'Resid - Datos'!$G$75*'Resid - Datos'!$O$7</f>
        <v>0</v>
      </c>
      <c r="T64" s="87">
        <f>-T35*'Resid - Datos'!$G$75*'Resid - Datos'!$O$7</f>
        <v>0</v>
      </c>
      <c r="U64" s="87">
        <f>-U35*'Resid - Datos'!$G$75*'Resid - Datos'!$O$7</f>
        <v>0</v>
      </c>
      <c r="V64" s="87">
        <f>-V35*'Resid - Datos'!$G$75*'Resid - Datos'!$O$7</f>
        <v>0</v>
      </c>
      <c r="W64" s="87">
        <f>-W35*'Resid - Datos'!$G$75*'Resid - Datos'!$O$7</f>
        <v>0</v>
      </c>
      <c r="X64" s="87">
        <f>-X35*'Resid - Datos'!$G$75*'Resid - Datos'!$O$7</f>
        <v>0</v>
      </c>
      <c r="Y64" s="87">
        <f>-Y35*'Resid - Datos'!$G$75*'Resid - Datos'!$O$7</f>
        <v>0</v>
      </c>
      <c r="Z64" s="87">
        <f>-Z35*'Resid - Datos'!$G$75*'Resid - Datos'!$O$7</f>
        <v>0</v>
      </c>
      <c r="AA64" s="87">
        <f>-AA35*'Resid - Datos'!$G$75*'Resid - Datos'!$O$7</f>
        <v>0</v>
      </c>
      <c r="AB64" s="87">
        <f>-AB35*'Resid - Datos'!$G$75*'Resid - Datos'!$O$7</f>
        <v>0</v>
      </c>
      <c r="AC64" s="87">
        <f>-AC35*'Resid - Datos'!$G$75*'Resid - Datos'!$O$7</f>
        <v>0</v>
      </c>
      <c r="AD64" s="87">
        <f>-AD35*'Resid - Datos'!$G$75*'Resid - Datos'!$O$7</f>
        <v>0</v>
      </c>
      <c r="AE64" s="87">
        <f>-AE35*'Resid - Datos'!$G$75*'Resid - Datos'!$O$7</f>
        <v>0</v>
      </c>
      <c r="AF64" s="87">
        <f>-AF35*'Resid - Datos'!$G$75*'Resid - Datos'!$O$7</f>
        <v>0</v>
      </c>
      <c r="AG64" s="87">
        <f>-AG35*'Resid - Datos'!$G$75*'Resid - Datos'!$O$7</f>
        <v>0</v>
      </c>
      <c r="AH64" s="87">
        <f>-AH35*'Resid - Datos'!$G$75*'Resid - Datos'!$O$7</f>
        <v>-40635.000000000007</v>
      </c>
      <c r="AI64" s="87">
        <f>-AI35*'Resid - Datos'!$G$75*'Resid - Datos'!$O$7</f>
        <v>-40635.000000000007</v>
      </c>
      <c r="AJ64" s="87">
        <f>-AJ35*'Resid - Datos'!$G$75*'Resid - Datos'!$O$7</f>
        <v>-40635.000000000007</v>
      </c>
      <c r="AK64" s="87">
        <f>-AK35*'Resid - Datos'!$G$75*'Resid - Datos'!$O$7</f>
        <v>-20317.500000000004</v>
      </c>
      <c r="AL64" s="87">
        <f>-AL35*'Resid - Datos'!$G$75*'Resid - Datos'!$O$7</f>
        <v>-20317.500000000004</v>
      </c>
      <c r="AM64" s="87">
        <f>-AM35*'Resid - Datos'!$G$75*'Resid - Datos'!$O$7</f>
        <v>0</v>
      </c>
      <c r="AN64" s="87">
        <f>-AN35*'Resid - Datos'!$G$75*'Resid - Datos'!$O$7</f>
        <v>0</v>
      </c>
      <c r="AO64" s="87">
        <f>-AO35*'Resid - Datos'!$G$75*'Resid - Datos'!$O$7</f>
        <v>0</v>
      </c>
      <c r="AP64" s="87">
        <f>-AP35*'Resid - Datos'!$G$75*'Resid - Datos'!$O$7</f>
        <v>0</v>
      </c>
      <c r="AQ64" s="87">
        <f>-AQ35*'Resid - Datos'!$G$75*'Resid - Datos'!$O$7</f>
        <v>0</v>
      </c>
      <c r="AR64" s="87">
        <f>-AR35*'Resid - Datos'!$G$75*'Resid - Datos'!$O$7</f>
        <v>0</v>
      </c>
      <c r="AS64" s="87">
        <f>-AS35*'Resid - Datos'!$G$75*'Resid - Datos'!$O$7</f>
        <v>0</v>
      </c>
      <c r="AT64" s="87">
        <f>-AT35*'Resid - Datos'!$G$75*'Resid - Datos'!$O$7</f>
        <v>0</v>
      </c>
      <c r="AU64" s="87">
        <f>-AU35*'Resid - Datos'!$G$75*'Resid - Datos'!$O$7</f>
        <v>0</v>
      </c>
      <c r="AV64" s="87">
        <f>-AV35*'Resid - Datos'!$G$75*'Resid - Datos'!$O$7</f>
        <v>0</v>
      </c>
      <c r="AW64" s="87">
        <f>-AW35*'Resid - Datos'!$G$75*'Resid - Datos'!$O$7</f>
        <v>0</v>
      </c>
      <c r="AX64" s="87">
        <f>-AX35*'Resid - Datos'!$G$75*'Resid - Datos'!$O$7</f>
        <v>0</v>
      </c>
      <c r="AY64" s="87">
        <f>-AY35*'Resid - Datos'!$G$75*'Resid - Datos'!$O$7</f>
        <v>0</v>
      </c>
      <c r="AZ64" s="87">
        <f>-AZ35*'Resid - Datos'!$G$75*'Resid - Datos'!$O$7</f>
        <v>0</v>
      </c>
      <c r="BA64" s="87">
        <f>-BA35*'Resid - Datos'!$G$75*'Resid - Datos'!$O$7</f>
        <v>0</v>
      </c>
      <c r="BB64" s="87">
        <f>-BB35*'Resid - Datos'!$G$75*'Resid - Datos'!$O$7</f>
        <v>0</v>
      </c>
      <c r="BC64" s="87">
        <f>-BC35*'Resid - Datos'!$G$75*'Resid - Datos'!$O$7</f>
        <v>0</v>
      </c>
      <c r="BD64" s="87">
        <f>-BD35*'Resid - Datos'!$G$75*'Resid - Datos'!$O$7</f>
        <v>-20317.500000000004</v>
      </c>
      <c r="BE64" s="87">
        <f>-BE35*'Resid - Datos'!$G$75*'Resid - Datos'!$O$7</f>
        <v>-20317.500000000004</v>
      </c>
      <c r="BF64" s="87">
        <f>-BF35*'Resid - Datos'!$G$75*'Resid - Datos'!$O$7</f>
        <v>0</v>
      </c>
      <c r="BG64" s="87">
        <f>-BG35*'Resid - Datos'!$G$75*'Resid - Datos'!$O$7</f>
        <v>0</v>
      </c>
      <c r="BH64" s="87">
        <f>-BH35*'Resid - Datos'!$G$75*'Resid - Datos'!$O$7</f>
        <v>0</v>
      </c>
      <c r="BI64" s="87">
        <f>-BI35*'Resid - Datos'!$G$75*'Resid - Datos'!$O$7</f>
        <v>0</v>
      </c>
      <c r="BJ64" s="87">
        <f>-BJ35*'Resid - Datos'!$G$75*'Resid - Datos'!$O$7</f>
        <v>0</v>
      </c>
      <c r="BK64" s="87">
        <f>-BK35*'Resid - Datos'!$G$75*'Resid - Datos'!$O$7</f>
        <v>0</v>
      </c>
      <c r="BL64" s="87">
        <f>-BL35*'Resid - Datos'!$G$75*'Resid - Datos'!$O$7</f>
        <v>0</v>
      </c>
      <c r="BM64" s="87">
        <f>-BM35*'Resid - Datos'!$G$75*'Resid - Datos'!$O$7</f>
        <v>0</v>
      </c>
      <c r="BN64" s="87">
        <f>-BN35*'Resid - Datos'!$G$75*'Resid - Datos'!$O$7</f>
        <v>0</v>
      </c>
      <c r="BO64" s="87">
        <f>-BO35*'Resid - Datos'!$G$75*'Resid - Datos'!$O$7</f>
        <v>0</v>
      </c>
      <c r="BP64" s="87">
        <f>-BP35*'Resid - Datos'!$G$75*'Resid - Datos'!$O$7</f>
        <v>0</v>
      </c>
      <c r="BQ64" s="87">
        <f>-BQ35*'Resid - Datos'!$G$75*'Resid - Datos'!$O$7</f>
        <v>0</v>
      </c>
    </row>
    <row r="65" spans="1:69" s="70" customFormat="1" ht="14" hidden="1" outlineLevel="4">
      <c r="A65" s="110" t="str">
        <f>+A36</f>
        <v xml:space="preserve">     Módulo 1</v>
      </c>
      <c r="B65" s="641"/>
      <c r="C65" s="633">
        <f t="shared" si="85"/>
        <v>-3441234.375</v>
      </c>
      <c r="D65" s="112">
        <f>-D36*'Resid - Datos'!$J$72*'Resid - Datos'!$O$7</f>
        <v>0</v>
      </c>
      <c r="E65" s="112">
        <f>-E36*'Resid - Datos'!$J$72*'Resid - Datos'!$O$7</f>
        <v>0</v>
      </c>
      <c r="F65" s="112">
        <f>-F36*'Resid - Datos'!$J$72*'Resid - Datos'!$O$7</f>
        <v>0</v>
      </c>
      <c r="G65" s="112">
        <f>-G36*'Resid - Datos'!$J$72*'Resid - Datos'!$O$7</f>
        <v>0</v>
      </c>
      <c r="H65" s="112">
        <f>-H36*'Resid - Datos'!$J$72*'Resid - Datos'!$O$7</f>
        <v>0</v>
      </c>
      <c r="I65" s="112">
        <f>-I36*'Resid - Datos'!$J$72*'Resid - Datos'!$O$7</f>
        <v>0</v>
      </c>
      <c r="J65" s="112">
        <f>-J36*'Resid - Datos'!$J$72*'Resid - Datos'!$O$7</f>
        <v>0</v>
      </c>
      <c r="K65" s="112">
        <f>-K36*'Resid - Datos'!$J$72*'Resid - Datos'!$O$7</f>
        <v>0</v>
      </c>
      <c r="L65" s="112">
        <f>-L36*'Resid - Datos'!$J$72*'Resid - Datos'!$O$7</f>
        <v>0</v>
      </c>
      <c r="M65" s="112">
        <f>-M36*'Resid - Datos'!$J$72*'Resid - Datos'!$O$7</f>
        <v>0</v>
      </c>
      <c r="N65" s="112">
        <f>-N36*'Resid - Datos'!$J$72*'Resid - Datos'!$O$7</f>
        <v>0</v>
      </c>
      <c r="O65" s="112">
        <f>-O36*'Resid - Datos'!$J$72*'Resid - Datos'!$O$7</f>
        <v>0</v>
      </c>
      <c r="P65" s="112">
        <f>-P36*'Resid - Datos'!$J$72*'Resid - Datos'!$O$7</f>
        <v>0</v>
      </c>
      <c r="Q65" s="112">
        <f>-Q36*'Resid - Datos'!$J$72*'Resid - Datos'!$O$7</f>
        <v>0</v>
      </c>
      <c r="R65" s="112">
        <f>-R36*'Resid - Datos'!$J$72*'Resid - Datos'!$O$7</f>
        <v>0</v>
      </c>
      <c r="S65" s="112">
        <f>-S36*'Resid - Datos'!$J$72*'Resid - Datos'!$O$7</f>
        <v>-68824.6875</v>
      </c>
      <c r="T65" s="112">
        <f>-T36*'Resid - Datos'!$J$72*'Resid - Datos'!$O$7</f>
        <v>-86030.859375</v>
      </c>
      <c r="U65" s="112">
        <f>-U36*'Resid - Datos'!$J$72*'Resid - Datos'!$O$7</f>
        <v>-103237.03125</v>
      </c>
      <c r="V65" s="112">
        <f>-V36*'Resid - Datos'!$J$72*'Resid - Datos'!$O$7</f>
        <v>-120443.20312500001</v>
      </c>
      <c r="W65" s="112">
        <f>-W36*'Resid - Datos'!$J$72*'Resid - Datos'!$O$7</f>
        <v>-137649.375</v>
      </c>
      <c r="X65" s="112">
        <f>-X36*'Resid - Datos'!$J$72*'Resid - Datos'!$O$7</f>
        <v>-154855.546875</v>
      </c>
      <c r="Y65" s="112">
        <f>-Y36*'Resid - Datos'!$J$72*'Resid - Datos'!$O$7</f>
        <v>-172061.71875</v>
      </c>
      <c r="Z65" s="112">
        <f>-Z36*'Resid - Datos'!$J$72*'Resid - Datos'!$O$7</f>
        <v>-189267.890625</v>
      </c>
      <c r="AA65" s="112">
        <f>-AA36*'Resid - Datos'!$J$72*'Resid - Datos'!$O$7</f>
        <v>-206474.0625</v>
      </c>
      <c r="AB65" s="112">
        <f>-AB36*'Resid - Datos'!$J$72*'Resid - Datos'!$O$7</f>
        <v>-223680.234375</v>
      </c>
      <c r="AC65" s="112">
        <f>-AC36*'Resid - Datos'!$J$72*'Resid - Datos'!$O$7</f>
        <v>-223680.234375</v>
      </c>
      <c r="AD65" s="112">
        <f>-AD36*'Resid - Datos'!$J$72*'Resid - Datos'!$O$7</f>
        <v>-223680.234375</v>
      </c>
      <c r="AE65" s="112">
        <f>-AE36*'Resid - Datos'!$J$72*'Resid - Datos'!$O$7</f>
        <v>-223680.234375</v>
      </c>
      <c r="AF65" s="112">
        <f>-AF36*'Resid - Datos'!$J$72*'Resid - Datos'!$O$7</f>
        <v>-223680.234375</v>
      </c>
      <c r="AG65" s="112">
        <f>-AG36*'Resid - Datos'!$J$72*'Resid - Datos'!$O$7</f>
        <v>-206474.0625</v>
      </c>
      <c r="AH65" s="112">
        <f>-AH36*'Resid - Datos'!$J$72*'Resid - Datos'!$O$7</f>
        <v>-189267.890625</v>
      </c>
      <c r="AI65" s="112">
        <f>-AI36*'Resid - Datos'!$J$72*'Resid - Datos'!$O$7</f>
        <v>-172061.71875</v>
      </c>
      <c r="AJ65" s="112">
        <f>-AJ36*'Resid - Datos'!$J$72*'Resid - Datos'!$O$7</f>
        <v>-154855.546875</v>
      </c>
      <c r="AK65" s="112">
        <f>-AK36*'Resid - Datos'!$J$72*'Resid - Datos'!$O$7</f>
        <v>-137649.375</v>
      </c>
      <c r="AL65" s="112">
        <f>-AL36*'Resid - Datos'!$J$72*'Resid - Datos'!$O$7</f>
        <v>-120443.20312500001</v>
      </c>
      <c r="AM65" s="112">
        <f>-AM36*'Resid - Datos'!$J$72*'Resid - Datos'!$O$7</f>
        <v>-103237.03125</v>
      </c>
      <c r="AN65" s="112">
        <f>-AN36*'Resid - Datos'!$J$72*'Resid - Datos'!$O$7</f>
        <v>0</v>
      </c>
      <c r="AO65" s="112">
        <f>-AO36*'Resid - Datos'!$J$72*'Resid - Datos'!$O$7</f>
        <v>0</v>
      </c>
      <c r="AP65" s="112">
        <f>-AP36*'Resid - Datos'!$J$72*'Resid - Datos'!$O$7</f>
        <v>0</v>
      </c>
      <c r="AQ65" s="112">
        <f>-AQ36*'Resid - Datos'!$J$72*'Resid - Datos'!$O$7</f>
        <v>0</v>
      </c>
      <c r="AR65" s="112">
        <f>-AR36*'Resid - Datos'!$J$72*'Resid - Datos'!$O$7</f>
        <v>0</v>
      </c>
      <c r="AS65" s="112">
        <f>-AS36*'Resid - Datos'!$J$72*'Resid - Datos'!$O$7</f>
        <v>0</v>
      </c>
      <c r="AT65" s="112">
        <f>-AT36*'Resid - Datos'!$J$72*'Resid - Datos'!$O$7</f>
        <v>0</v>
      </c>
      <c r="AU65" s="112">
        <f>-AU36*'Resid - Datos'!$J$72*'Resid - Datos'!$O$7</f>
        <v>0</v>
      </c>
      <c r="AV65" s="112">
        <f>-AV36*'Resid - Datos'!$J$72*'Resid - Datos'!$O$7</f>
        <v>0</v>
      </c>
      <c r="AW65" s="112">
        <f>-AW36*'Resid - Datos'!$J$72*'Resid - Datos'!$O$7</f>
        <v>0</v>
      </c>
      <c r="AX65" s="112">
        <f>-AX36*'Resid - Datos'!$J$72*'Resid - Datos'!$O$7</f>
        <v>0</v>
      </c>
      <c r="AY65" s="112">
        <f>-AY36*'Resid - Datos'!$J$72*'Resid - Datos'!$O$7</f>
        <v>0</v>
      </c>
      <c r="AZ65" s="112">
        <f>-AZ36*'Resid - Datos'!$J$72*'Resid - Datos'!$O$7</f>
        <v>0</v>
      </c>
      <c r="BA65" s="112">
        <f>-BA36*'Resid - Datos'!$J$72*'Resid - Datos'!$O$7</f>
        <v>0</v>
      </c>
      <c r="BB65" s="112">
        <f>-BB36*'Resid - Datos'!$J$72*'Resid - Datos'!$O$7</f>
        <v>0</v>
      </c>
      <c r="BC65" s="112">
        <f>-BC36*'Resid - Datos'!$J$72*'Resid - Datos'!$O$7</f>
        <v>0</v>
      </c>
      <c r="BD65" s="112">
        <f>-BD36*'Resid - Datos'!$J$72*'Resid - Datos'!$O$7</f>
        <v>0</v>
      </c>
      <c r="BE65" s="112">
        <f>-BE36*'Resid - Datos'!$J$72*'Resid - Datos'!$O$7</f>
        <v>0</v>
      </c>
      <c r="BF65" s="112">
        <f>-BF36*'Resid - Datos'!$J$72*'Resid - Datos'!$O$7</f>
        <v>0</v>
      </c>
      <c r="BG65" s="112">
        <f>-BG36*'Resid - Datos'!$J$72*'Resid - Datos'!$O$7</f>
        <v>0</v>
      </c>
      <c r="BH65" s="112">
        <f>-BH36*'Resid - Datos'!$J$72*'Resid - Datos'!$O$7</f>
        <v>0</v>
      </c>
      <c r="BI65" s="112">
        <f>-BI36*'Resid - Datos'!$J$72*'Resid - Datos'!$O$7</f>
        <v>0</v>
      </c>
      <c r="BJ65" s="112">
        <f>-BJ36*'Resid - Datos'!$J$72*'Resid - Datos'!$O$7</f>
        <v>0</v>
      </c>
      <c r="BK65" s="112">
        <f>-BK36*'Resid - Datos'!$J$72*'Resid - Datos'!$O$7</f>
        <v>0</v>
      </c>
      <c r="BL65" s="112">
        <f>-BL36*'Resid - Datos'!$J$72*'Resid - Datos'!$O$7</f>
        <v>0</v>
      </c>
      <c r="BM65" s="112">
        <f>-BM36*'Resid - Datos'!$J$72*'Resid - Datos'!$O$7</f>
        <v>0</v>
      </c>
      <c r="BN65" s="112">
        <f>-BN36*'Resid - Datos'!$J$72*'Resid - Datos'!$O$7</f>
        <v>0</v>
      </c>
      <c r="BO65" s="112">
        <f>-BO36*'Resid - Datos'!$J$72*'Resid - Datos'!$O$7</f>
        <v>0</v>
      </c>
      <c r="BP65" s="112">
        <f>-BP36*'Resid - Datos'!$J$72*'Resid - Datos'!$O$7</f>
        <v>0</v>
      </c>
      <c r="BQ65" s="112">
        <f>-BQ36*'Resid - Datos'!$J$72*'Resid - Datos'!$O$7</f>
        <v>0</v>
      </c>
    </row>
    <row r="66" spans="1:69" s="70" customFormat="1" ht="14" hidden="1" outlineLevel="4">
      <c r="A66" s="110" t="str">
        <f>+A37</f>
        <v xml:space="preserve">     Módulo 2</v>
      </c>
      <c r="B66" s="641"/>
      <c r="C66" s="633">
        <f t="shared" si="85"/>
        <v>-3364762.5000000005</v>
      </c>
      <c r="D66" s="112">
        <f>-D37*'Resid - Datos'!$J$73*'Resid - Datos'!$O$7</f>
        <v>0</v>
      </c>
      <c r="E66" s="112">
        <f>-E37*'Resid - Datos'!$J$73*'Resid - Datos'!$O$7</f>
        <v>0</v>
      </c>
      <c r="F66" s="112">
        <f>-F37*'Resid - Datos'!$J$73*'Resid - Datos'!$O$7</f>
        <v>0</v>
      </c>
      <c r="G66" s="112">
        <f>-G37*'Resid - Datos'!$J$73*'Resid - Datos'!$O$7</f>
        <v>0</v>
      </c>
      <c r="H66" s="112">
        <f>-H37*'Resid - Datos'!$J$73*'Resid - Datos'!$O$7</f>
        <v>0</v>
      </c>
      <c r="I66" s="112">
        <f>-I37*'Resid - Datos'!$J$73*'Resid - Datos'!$O$7</f>
        <v>0</v>
      </c>
      <c r="J66" s="112">
        <f>-J37*'Resid - Datos'!$J$73*'Resid - Datos'!$O$7</f>
        <v>0</v>
      </c>
      <c r="K66" s="112">
        <f>-K37*'Resid - Datos'!$J$73*'Resid - Datos'!$O$7</f>
        <v>0</v>
      </c>
      <c r="L66" s="112">
        <f>-L37*'Resid - Datos'!$J$73*'Resid - Datos'!$O$7</f>
        <v>0</v>
      </c>
      <c r="M66" s="112">
        <f>-M37*'Resid - Datos'!$J$73*'Resid - Datos'!$O$7</f>
        <v>0</v>
      </c>
      <c r="N66" s="112">
        <f>-N37*'Resid - Datos'!$J$73*'Resid - Datos'!$O$7</f>
        <v>0</v>
      </c>
      <c r="O66" s="112">
        <f>-O37*'Resid - Datos'!$J$73*'Resid - Datos'!$O$7</f>
        <v>0</v>
      </c>
      <c r="P66" s="112">
        <f>-P37*'Resid - Datos'!$J$73*'Resid - Datos'!$O$7</f>
        <v>0</v>
      </c>
      <c r="Q66" s="112">
        <f>-Q37*'Resid - Datos'!$J$73*'Resid - Datos'!$O$7</f>
        <v>0</v>
      </c>
      <c r="R66" s="112">
        <f>-R37*'Resid - Datos'!$J$73*'Resid - Datos'!$O$7</f>
        <v>0</v>
      </c>
      <c r="S66" s="112">
        <f>-S37*'Resid - Datos'!$J$73*'Resid - Datos'!$O$7</f>
        <v>0</v>
      </c>
      <c r="T66" s="112">
        <f>-T37*'Resid - Datos'!$J$73*'Resid - Datos'!$O$7</f>
        <v>0</v>
      </c>
      <c r="U66" s="112">
        <f>-U37*'Resid - Datos'!$J$73*'Resid - Datos'!$O$7</f>
        <v>0</v>
      </c>
      <c r="V66" s="112">
        <f>-V37*'Resid - Datos'!$J$73*'Resid - Datos'!$O$7</f>
        <v>0</v>
      </c>
      <c r="W66" s="112">
        <f>-W37*'Resid - Datos'!$J$73*'Resid - Datos'!$O$7</f>
        <v>0</v>
      </c>
      <c r="X66" s="112">
        <f>-X37*'Resid - Datos'!$J$73*'Resid - Datos'!$O$7</f>
        <v>0</v>
      </c>
      <c r="Y66" s="112">
        <f>-Y37*'Resid - Datos'!$J$73*'Resid - Datos'!$O$7</f>
        <v>-67295.250000000015</v>
      </c>
      <c r="Z66" s="112">
        <f>-Z37*'Resid - Datos'!$J$73*'Resid - Datos'!$O$7</f>
        <v>-84119.062500000015</v>
      </c>
      <c r="AA66" s="112">
        <f>-AA37*'Resid - Datos'!$J$73*'Resid - Datos'!$O$7</f>
        <v>-100942.87500000001</v>
      </c>
      <c r="AB66" s="112">
        <f>-AB37*'Resid - Datos'!$J$73*'Resid - Datos'!$O$7</f>
        <v>-117766.68750000003</v>
      </c>
      <c r="AC66" s="112">
        <f>-AC37*'Resid - Datos'!$J$73*'Resid - Datos'!$O$7</f>
        <v>-134590.50000000003</v>
      </c>
      <c r="AD66" s="112">
        <f>-AD37*'Resid - Datos'!$J$73*'Resid - Datos'!$O$7</f>
        <v>-151414.31250000003</v>
      </c>
      <c r="AE66" s="112">
        <f>-AE37*'Resid - Datos'!$J$73*'Resid - Datos'!$O$7</f>
        <v>-168238.12500000003</v>
      </c>
      <c r="AF66" s="112">
        <f>-AF37*'Resid - Datos'!$J$73*'Resid - Datos'!$O$7</f>
        <v>-185061.93750000003</v>
      </c>
      <c r="AG66" s="112">
        <f>-AG37*'Resid - Datos'!$J$73*'Resid - Datos'!$O$7</f>
        <v>-201885.75000000003</v>
      </c>
      <c r="AH66" s="112">
        <f>-AH37*'Resid - Datos'!$J$73*'Resid - Datos'!$O$7</f>
        <v>-218709.56250000003</v>
      </c>
      <c r="AI66" s="112">
        <f>-AI37*'Resid - Datos'!$J$73*'Resid - Datos'!$O$7</f>
        <v>-218709.56250000003</v>
      </c>
      <c r="AJ66" s="112">
        <f>-AJ37*'Resid - Datos'!$J$73*'Resid - Datos'!$O$7</f>
        <v>-218709.56250000003</v>
      </c>
      <c r="AK66" s="112">
        <f>-AK37*'Resid - Datos'!$J$73*'Resid - Datos'!$O$7</f>
        <v>-218709.56250000003</v>
      </c>
      <c r="AL66" s="112">
        <f>-AL37*'Resid - Datos'!$J$73*'Resid - Datos'!$O$7</f>
        <v>-218709.56250000003</v>
      </c>
      <c r="AM66" s="112">
        <f>-AM37*'Resid - Datos'!$J$73*'Resid - Datos'!$O$7</f>
        <v>-201885.75000000003</v>
      </c>
      <c r="AN66" s="112">
        <f>-AN37*'Resid - Datos'!$J$73*'Resid - Datos'!$O$7</f>
        <v>-185061.93750000003</v>
      </c>
      <c r="AO66" s="112">
        <f>-AO37*'Resid - Datos'!$J$73*'Resid - Datos'!$O$7</f>
        <v>-168238.12500000003</v>
      </c>
      <c r="AP66" s="112">
        <f>-AP37*'Resid - Datos'!$J$73*'Resid - Datos'!$O$7</f>
        <v>-151414.31250000003</v>
      </c>
      <c r="AQ66" s="112">
        <f>-AQ37*'Resid - Datos'!$J$73*'Resid - Datos'!$O$7</f>
        <v>-134590.50000000003</v>
      </c>
      <c r="AR66" s="112">
        <f>-AR37*'Resid - Datos'!$J$73*'Resid - Datos'!$O$7</f>
        <v>-117766.68750000003</v>
      </c>
      <c r="AS66" s="112">
        <f>-AS37*'Resid - Datos'!$J$73*'Resid - Datos'!$O$7</f>
        <v>-100942.87500000001</v>
      </c>
      <c r="AT66" s="112">
        <f>-AT37*'Resid - Datos'!$J$73*'Resid - Datos'!$O$7</f>
        <v>0</v>
      </c>
      <c r="AU66" s="112">
        <f>-AU37*'Resid - Datos'!$J$73*'Resid - Datos'!$O$7</f>
        <v>0</v>
      </c>
      <c r="AV66" s="112">
        <f>-AV37*'Resid - Datos'!$J$73*'Resid - Datos'!$O$7</f>
        <v>0</v>
      </c>
      <c r="AW66" s="112">
        <f>-AW37*'Resid - Datos'!$J$73*'Resid - Datos'!$O$7</f>
        <v>0</v>
      </c>
      <c r="AX66" s="112">
        <f>-AX37*'Resid - Datos'!$J$73*'Resid - Datos'!$O$7</f>
        <v>0</v>
      </c>
      <c r="AY66" s="112">
        <f>-AY37*'Resid - Datos'!$J$73*'Resid - Datos'!$O$7</f>
        <v>0</v>
      </c>
      <c r="AZ66" s="112">
        <f>-AZ37*'Resid - Datos'!$J$73*'Resid - Datos'!$O$7</f>
        <v>0</v>
      </c>
      <c r="BA66" s="112">
        <f>-BA37*'Resid - Datos'!$J$73*'Resid - Datos'!$O$7</f>
        <v>0</v>
      </c>
      <c r="BB66" s="112">
        <f>-BB37*'Resid - Datos'!$J$73*'Resid - Datos'!$O$7</f>
        <v>0</v>
      </c>
      <c r="BC66" s="112">
        <f>-BC37*'Resid - Datos'!$J$73*'Resid - Datos'!$O$7</f>
        <v>0</v>
      </c>
      <c r="BD66" s="112">
        <f>-BD37*'Resid - Datos'!$J$73*'Resid - Datos'!$O$7</f>
        <v>0</v>
      </c>
      <c r="BE66" s="112">
        <f>-BE37*'Resid - Datos'!$J$73*'Resid - Datos'!$O$7</f>
        <v>0</v>
      </c>
      <c r="BF66" s="112">
        <f>-BF37*'Resid - Datos'!$J$73*'Resid - Datos'!$O$7</f>
        <v>0</v>
      </c>
      <c r="BG66" s="112">
        <f>-BG37*'Resid - Datos'!$J$73*'Resid - Datos'!$O$7</f>
        <v>0</v>
      </c>
      <c r="BH66" s="112">
        <f>-BH37*'Resid - Datos'!$J$73*'Resid - Datos'!$O$7</f>
        <v>0</v>
      </c>
      <c r="BI66" s="112">
        <f>-BI37*'Resid - Datos'!$J$73*'Resid - Datos'!$O$7</f>
        <v>0</v>
      </c>
      <c r="BJ66" s="112">
        <f>-BJ37*'Resid - Datos'!$J$73*'Resid - Datos'!$O$7</f>
        <v>0</v>
      </c>
      <c r="BK66" s="112">
        <f>-BK37*'Resid - Datos'!$J$73*'Resid - Datos'!$O$7</f>
        <v>0</v>
      </c>
      <c r="BL66" s="112">
        <f>-BL37*'Resid - Datos'!$J$73*'Resid - Datos'!$O$7</f>
        <v>0</v>
      </c>
      <c r="BM66" s="112">
        <f>-BM37*'Resid - Datos'!$J$73*'Resid - Datos'!$O$7</f>
        <v>0</v>
      </c>
      <c r="BN66" s="112">
        <f>-BN37*'Resid - Datos'!$J$73*'Resid - Datos'!$O$7</f>
        <v>0</v>
      </c>
      <c r="BO66" s="112">
        <f>-BO37*'Resid - Datos'!$J$73*'Resid - Datos'!$O$7</f>
        <v>0</v>
      </c>
      <c r="BP66" s="112">
        <f>-BP37*'Resid - Datos'!$J$73*'Resid - Datos'!$O$7</f>
        <v>0</v>
      </c>
      <c r="BQ66" s="112">
        <f>-BQ37*'Resid - Datos'!$J$73*'Resid - Datos'!$O$7</f>
        <v>0</v>
      </c>
    </row>
    <row r="67" spans="1:69" s="70" customFormat="1" ht="14" hidden="1" outlineLevel="4">
      <c r="A67" s="110" t="str">
        <f>+A38</f>
        <v xml:space="preserve">     Módulo 3</v>
      </c>
      <c r="B67" s="641"/>
      <c r="C67" s="633">
        <f t="shared" si="85"/>
        <v>-3364762.5000000005</v>
      </c>
      <c r="D67" s="112">
        <f>-D38*'Resid - Datos'!$J$74*'Resid - Datos'!$O$7</f>
        <v>0</v>
      </c>
      <c r="E67" s="112">
        <f>-E38*'Resid - Datos'!$J$74*'Resid - Datos'!$O$7</f>
        <v>0</v>
      </c>
      <c r="F67" s="112">
        <f>-F38*'Resid - Datos'!$J$74*'Resid - Datos'!$O$7</f>
        <v>0</v>
      </c>
      <c r="G67" s="112">
        <f>-G38*'Resid - Datos'!$J$74*'Resid - Datos'!$O$7</f>
        <v>0</v>
      </c>
      <c r="H67" s="112">
        <f>-H38*'Resid - Datos'!$J$74*'Resid - Datos'!$O$7</f>
        <v>0</v>
      </c>
      <c r="I67" s="112">
        <f>-I38*'Resid - Datos'!$J$74*'Resid - Datos'!$O$7</f>
        <v>0</v>
      </c>
      <c r="J67" s="112">
        <f>-J38*'Resid - Datos'!$J$74*'Resid - Datos'!$O$7</f>
        <v>0</v>
      </c>
      <c r="K67" s="112">
        <f>-K38*'Resid - Datos'!$J$74*'Resid - Datos'!$O$7</f>
        <v>0</v>
      </c>
      <c r="L67" s="112">
        <f>-L38*'Resid - Datos'!$J$74*'Resid - Datos'!$O$7</f>
        <v>0</v>
      </c>
      <c r="M67" s="112">
        <f>-M38*'Resid - Datos'!$J$74*'Resid - Datos'!$O$7</f>
        <v>0</v>
      </c>
      <c r="N67" s="112">
        <f>-N38*'Resid - Datos'!$J$74*'Resid - Datos'!$O$7</f>
        <v>0</v>
      </c>
      <c r="O67" s="112">
        <f>-O38*'Resid - Datos'!$J$74*'Resid - Datos'!$O$7</f>
        <v>0</v>
      </c>
      <c r="P67" s="112">
        <f>-P38*'Resid - Datos'!$J$74*'Resid - Datos'!$O$7</f>
        <v>0</v>
      </c>
      <c r="Q67" s="112">
        <f>-Q38*'Resid - Datos'!$J$74*'Resid - Datos'!$O$7</f>
        <v>0</v>
      </c>
      <c r="R67" s="112">
        <f>-R38*'Resid - Datos'!$J$74*'Resid - Datos'!$O$7</f>
        <v>0</v>
      </c>
      <c r="S67" s="112">
        <f>-S38*'Resid - Datos'!$J$74*'Resid - Datos'!$O$7</f>
        <v>0</v>
      </c>
      <c r="T67" s="112">
        <f>-T38*'Resid - Datos'!$J$74*'Resid - Datos'!$O$7</f>
        <v>0</v>
      </c>
      <c r="U67" s="112">
        <f>-U38*'Resid - Datos'!$J$74*'Resid - Datos'!$O$7</f>
        <v>0</v>
      </c>
      <c r="V67" s="112">
        <f>-V38*'Resid - Datos'!$J$74*'Resid - Datos'!$O$7</f>
        <v>0</v>
      </c>
      <c r="W67" s="112">
        <f>-W38*'Resid - Datos'!$J$74*'Resid - Datos'!$O$7</f>
        <v>0</v>
      </c>
      <c r="X67" s="112">
        <f>-X38*'Resid - Datos'!$J$74*'Resid - Datos'!$O$7</f>
        <v>0</v>
      </c>
      <c r="Y67" s="112">
        <f>-Y38*'Resid - Datos'!$J$74*'Resid - Datos'!$O$7</f>
        <v>0</v>
      </c>
      <c r="Z67" s="112">
        <f>-Z38*'Resid - Datos'!$J$74*'Resid - Datos'!$O$7</f>
        <v>0</v>
      </c>
      <c r="AA67" s="112">
        <f>-AA38*'Resid - Datos'!$J$74*'Resid - Datos'!$O$7</f>
        <v>0</v>
      </c>
      <c r="AB67" s="112">
        <f>-AB38*'Resid - Datos'!$J$74*'Resid - Datos'!$O$7</f>
        <v>0</v>
      </c>
      <c r="AC67" s="112">
        <f>-AC38*'Resid - Datos'!$J$74*'Resid - Datos'!$O$7</f>
        <v>0</v>
      </c>
      <c r="AD67" s="112">
        <f>-AD38*'Resid - Datos'!$J$74*'Resid - Datos'!$O$7</f>
        <v>0</v>
      </c>
      <c r="AE67" s="112">
        <f>-AE38*'Resid - Datos'!$J$74*'Resid - Datos'!$O$7</f>
        <v>-67295.250000000015</v>
      </c>
      <c r="AF67" s="112">
        <f>-AF38*'Resid - Datos'!$J$74*'Resid - Datos'!$O$7</f>
        <v>-84119.062500000015</v>
      </c>
      <c r="AG67" s="112">
        <f>-AG38*'Resid - Datos'!$J$74*'Resid - Datos'!$O$7</f>
        <v>-100942.87500000001</v>
      </c>
      <c r="AH67" s="112">
        <f>-AH38*'Resid - Datos'!$J$74*'Resid - Datos'!$O$7</f>
        <v>-117766.68750000003</v>
      </c>
      <c r="AI67" s="112">
        <f>-AI38*'Resid - Datos'!$J$74*'Resid - Datos'!$O$7</f>
        <v>-134590.50000000003</v>
      </c>
      <c r="AJ67" s="112">
        <f>-AJ38*'Resid - Datos'!$J$74*'Resid - Datos'!$O$7</f>
        <v>-151414.31250000003</v>
      </c>
      <c r="AK67" s="112">
        <f>-AK38*'Resid - Datos'!$J$74*'Resid - Datos'!$O$7</f>
        <v>-168238.12500000003</v>
      </c>
      <c r="AL67" s="112">
        <f>-AL38*'Resid - Datos'!$J$74*'Resid - Datos'!$O$7</f>
        <v>-185061.93750000003</v>
      </c>
      <c r="AM67" s="112">
        <f>-AM38*'Resid - Datos'!$J$74*'Resid - Datos'!$O$7</f>
        <v>-201885.75000000003</v>
      </c>
      <c r="AN67" s="112">
        <f>-AN38*'Resid - Datos'!$J$74*'Resid - Datos'!$O$7</f>
        <v>-218709.56250000003</v>
      </c>
      <c r="AO67" s="112">
        <f>-AO38*'Resid - Datos'!$J$74*'Resid - Datos'!$O$7</f>
        <v>-218709.56250000003</v>
      </c>
      <c r="AP67" s="112">
        <f>-AP38*'Resid - Datos'!$J$74*'Resid - Datos'!$O$7</f>
        <v>-218709.56250000003</v>
      </c>
      <c r="AQ67" s="112">
        <f>-AQ38*'Resid - Datos'!$J$74*'Resid - Datos'!$O$7</f>
        <v>-218709.56250000003</v>
      </c>
      <c r="AR67" s="112">
        <f>-AR38*'Resid - Datos'!$J$74*'Resid - Datos'!$O$7</f>
        <v>-218709.56250000003</v>
      </c>
      <c r="AS67" s="112">
        <f>-AS38*'Resid - Datos'!$J$74*'Resid - Datos'!$O$7</f>
        <v>-201885.75000000003</v>
      </c>
      <c r="AT67" s="112">
        <f>-AT38*'Resid - Datos'!$J$74*'Resid - Datos'!$O$7</f>
        <v>-185061.93750000003</v>
      </c>
      <c r="AU67" s="112">
        <f>-AU38*'Resid - Datos'!$J$74*'Resid - Datos'!$O$7</f>
        <v>-168238.12500000003</v>
      </c>
      <c r="AV67" s="112">
        <f>-AV38*'Resid - Datos'!$J$74*'Resid - Datos'!$O$7</f>
        <v>-151414.31250000003</v>
      </c>
      <c r="AW67" s="112">
        <f>-AW38*'Resid - Datos'!$J$74*'Resid - Datos'!$O$7</f>
        <v>-134590.50000000003</v>
      </c>
      <c r="AX67" s="112">
        <f>-AX38*'Resid - Datos'!$J$74*'Resid - Datos'!$O$7</f>
        <v>-117766.68750000003</v>
      </c>
      <c r="AY67" s="112">
        <f>-AY38*'Resid - Datos'!$J$74*'Resid - Datos'!$O$7</f>
        <v>-100942.87500000001</v>
      </c>
      <c r="AZ67" s="112">
        <f>-AZ38*'Resid - Datos'!$J$74*'Resid - Datos'!$O$7</f>
        <v>0</v>
      </c>
      <c r="BA67" s="112">
        <f>-BA38*'Resid - Datos'!$J$74*'Resid - Datos'!$O$7</f>
        <v>0</v>
      </c>
      <c r="BB67" s="112">
        <f>-BB38*'Resid - Datos'!$J$74*'Resid - Datos'!$O$7</f>
        <v>0</v>
      </c>
      <c r="BC67" s="112">
        <f>-BC38*'Resid - Datos'!$J$74*'Resid - Datos'!$O$7</f>
        <v>0</v>
      </c>
      <c r="BD67" s="112">
        <f>-BD38*'Resid - Datos'!$J$74*'Resid - Datos'!$O$7</f>
        <v>0</v>
      </c>
      <c r="BE67" s="112">
        <f>-BE38*'Resid - Datos'!$J$74*'Resid - Datos'!$O$7</f>
        <v>0</v>
      </c>
      <c r="BF67" s="112">
        <f>-BF38*'Resid - Datos'!$J$74*'Resid - Datos'!$O$7</f>
        <v>0</v>
      </c>
      <c r="BG67" s="112">
        <f>-BG38*'Resid - Datos'!$J$74*'Resid - Datos'!$O$7</f>
        <v>0</v>
      </c>
      <c r="BH67" s="112">
        <f>-BH38*'Resid - Datos'!$J$74*'Resid - Datos'!$O$7</f>
        <v>0</v>
      </c>
      <c r="BI67" s="112">
        <f>-BI38*'Resid - Datos'!$J$74*'Resid - Datos'!$O$7</f>
        <v>0</v>
      </c>
      <c r="BJ67" s="112">
        <f>-BJ38*'Resid - Datos'!$J$74*'Resid - Datos'!$O$7</f>
        <v>0</v>
      </c>
      <c r="BK67" s="112">
        <f>-BK38*'Resid - Datos'!$J$74*'Resid - Datos'!$O$7</f>
        <v>0</v>
      </c>
      <c r="BL67" s="112">
        <f>-BL38*'Resid - Datos'!$J$74*'Resid - Datos'!$O$7</f>
        <v>0</v>
      </c>
      <c r="BM67" s="112">
        <f>-BM38*'Resid - Datos'!$J$74*'Resid - Datos'!$O$7</f>
        <v>0</v>
      </c>
      <c r="BN67" s="112">
        <f>-BN38*'Resid - Datos'!$J$74*'Resid - Datos'!$O$7</f>
        <v>0</v>
      </c>
      <c r="BO67" s="112">
        <f>-BO38*'Resid - Datos'!$J$74*'Resid - Datos'!$O$7</f>
        <v>0</v>
      </c>
      <c r="BP67" s="112">
        <f>-BP38*'Resid - Datos'!$J$74*'Resid - Datos'!$O$7</f>
        <v>0</v>
      </c>
      <c r="BQ67" s="112">
        <f>-BQ38*'Resid - Datos'!$J$74*'Resid - Datos'!$O$7</f>
        <v>0</v>
      </c>
    </row>
    <row r="68" spans="1:69" s="70" customFormat="1" ht="14" hidden="1" outlineLevel="4">
      <c r="A68" s="114" t="str">
        <f>+A39</f>
        <v xml:space="preserve">     Módulo 4</v>
      </c>
      <c r="B68" s="642"/>
      <c r="C68" s="612">
        <f t="shared" si="85"/>
        <v>-2064740.6250000002</v>
      </c>
      <c r="D68" s="87">
        <f>-D39*'Resid - Datos'!$J$75*'Resid - Datos'!$O$7</f>
        <v>0</v>
      </c>
      <c r="E68" s="87">
        <f>-E39*'Resid - Datos'!$J$75*'Resid - Datos'!$O$7</f>
        <v>0</v>
      </c>
      <c r="F68" s="87">
        <f>-F39*'Resid - Datos'!$J$75*'Resid - Datos'!$O$7</f>
        <v>0</v>
      </c>
      <c r="G68" s="87">
        <f>-G39*'Resid - Datos'!$J$75*'Resid - Datos'!$O$7</f>
        <v>0</v>
      </c>
      <c r="H68" s="87">
        <f>-H39*'Resid - Datos'!$J$75*'Resid - Datos'!$O$7</f>
        <v>0</v>
      </c>
      <c r="I68" s="87">
        <f>-I39*'Resid - Datos'!$J$75*'Resid - Datos'!$O$7</f>
        <v>0</v>
      </c>
      <c r="J68" s="87">
        <f>-J39*'Resid - Datos'!$J$75*'Resid - Datos'!$O$7</f>
        <v>0</v>
      </c>
      <c r="K68" s="87">
        <f>-K39*'Resid - Datos'!$J$75*'Resid - Datos'!$O$7</f>
        <v>0</v>
      </c>
      <c r="L68" s="87">
        <f>-L39*'Resid - Datos'!$J$75*'Resid - Datos'!$O$7</f>
        <v>0</v>
      </c>
      <c r="M68" s="87">
        <f>-M39*'Resid - Datos'!$J$75*'Resid - Datos'!$O$7</f>
        <v>0</v>
      </c>
      <c r="N68" s="87">
        <f>-N39*'Resid - Datos'!$J$75*'Resid - Datos'!$O$7</f>
        <v>0</v>
      </c>
      <c r="O68" s="87">
        <f>-O39*'Resid - Datos'!$J$75*'Resid - Datos'!$O$7</f>
        <v>0</v>
      </c>
      <c r="P68" s="87">
        <f>-P39*'Resid - Datos'!$J$75*'Resid - Datos'!$O$7</f>
        <v>0</v>
      </c>
      <c r="Q68" s="87">
        <f>-Q39*'Resid - Datos'!$J$75*'Resid - Datos'!$O$7</f>
        <v>0</v>
      </c>
      <c r="R68" s="87">
        <f>-R39*'Resid - Datos'!$J$75*'Resid - Datos'!$O$7</f>
        <v>0</v>
      </c>
      <c r="S68" s="87">
        <f>-S39*'Resid - Datos'!$J$75*'Resid - Datos'!$O$7</f>
        <v>0</v>
      </c>
      <c r="T68" s="87">
        <f>-T39*'Resid - Datos'!$J$75*'Resid - Datos'!$O$7</f>
        <v>0</v>
      </c>
      <c r="U68" s="87">
        <f>-U39*'Resid - Datos'!$J$75*'Resid - Datos'!$O$7</f>
        <v>0</v>
      </c>
      <c r="V68" s="87">
        <f>-V39*'Resid - Datos'!$J$75*'Resid - Datos'!$O$7</f>
        <v>0</v>
      </c>
      <c r="W68" s="87">
        <f>-W39*'Resid - Datos'!$J$75*'Resid - Datos'!$O$7</f>
        <v>0</v>
      </c>
      <c r="X68" s="87">
        <f>-X39*'Resid - Datos'!$J$75*'Resid - Datos'!$O$7</f>
        <v>0</v>
      </c>
      <c r="Y68" s="87">
        <f>-Y39*'Resid - Datos'!$J$75*'Resid - Datos'!$O$7</f>
        <v>0</v>
      </c>
      <c r="Z68" s="87">
        <f>-Z39*'Resid - Datos'!$J$75*'Resid - Datos'!$O$7</f>
        <v>0</v>
      </c>
      <c r="AA68" s="87">
        <f>-AA39*'Resid - Datos'!$J$75*'Resid - Datos'!$O$7</f>
        <v>0</v>
      </c>
      <c r="AB68" s="87">
        <f>-AB39*'Resid - Datos'!$J$75*'Resid - Datos'!$O$7</f>
        <v>0</v>
      </c>
      <c r="AC68" s="87">
        <f>-AC39*'Resid - Datos'!$J$75*'Resid - Datos'!$O$7</f>
        <v>0</v>
      </c>
      <c r="AD68" s="87">
        <f>-AD39*'Resid - Datos'!$J$75*'Resid - Datos'!$O$7</f>
        <v>0</v>
      </c>
      <c r="AE68" s="87">
        <f>-AE39*'Resid - Datos'!$J$75*'Resid - Datos'!$O$7</f>
        <v>0</v>
      </c>
      <c r="AF68" s="87">
        <f>-AF39*'Resid - Datos'!$J$75*'Resid - Datos'!$O$7</f>
        <v>0</v>
      </c>
      <c r="AG68" s="87">
        <f>-AG39*'Resid - Datos'!$J$75*'Resid - Datos'!$O$7</f>
        <v>0</v>
      </c>
      <c r="AH68" s="87">
        <f>-AH39*'Resid - Datos'!$J$75*'Resid - Datos'!$O$7</f>
        <v>0</v>
      </c>
      <c r="AI68" s="87">
        <f>-AI39*'Resid - Datos'!$J$75*'Resid - Datos'!$O$7</f>
        <v>0</v>
      </c>
      <c r="AJ68" s="87">
        <f>-AJ39*'Resid - Datos'!$J$75*'Resid - Datos'!$O$7</f>
        <v>0</v>
      </c>
      <c r="AK68" s="87">
        <f>-AK39*'Resid - Datos'!$J$75*'Resid - Datos'!$O$7</f>
        <v>-41294.812500000007</v>
      </c>
      <c r="AL68" s="87">
        <f>-AL39*'Resid - Datos'!$J$75*'Resid - Datos'!$O$7</f>
        <v>-51618.515625000007</v>
      </c>
      <c r="AM68" s="87">
        <f>-AM39*'Resid - Datos'!$J$75*'Resid - Datos'!$O$7</f>
        <v>-61942.218750000007</v>
      </c>
      <c r="AN68" s="87">
        <f>-AN39*'Resid - Datos'!$J$75*'Resid - Datos'!$O$7</f>
        <v>-72265.921875000015</v>
      </c>
      <c r="AO68" s="87">
        <f>-AO39*'Resid - Datos'!$J$75*'Resid - Datos'!$O$7</f>
        <v>-82589.625000000015</v>
      </c>
      <c r="AP68" s="87">
        <f>-AP39*'Resid - Datos'!$J$75*'Resid - Datos'!$O$7</f>
        <v>-92913.328125</v>
      </c>
      <c r="AQ68" s="87">
        <f>-AQ39*'Resid - Datos'!$J$75*'Resid - Datos'!$O$7</f>
        <v>-103237.03125000001</v>
      </c>
      <c r="AR68" s="87">
        <f>-AR39*'Resid - Datos'!$J$75*'Resid - Datos'!$O$7</f>
        <v>-113560.73437500001</v>
      </c>
      <c r="AS68" s="87">
        <f>-AS39*'Resid - Datos'!$J$75*'Resid - Datos'!$O$7</f>
        <v>-123884.43750000001</v>
      </c>
      <c r="AT68" s="87">
        <f>-AT39*'Resid - Datos'!$J$75*'Resid - Datos'!$O$7</f>
        <v>-134208.14062500003</v>
      </c>
      <c r="AU68" s="87">
        <f>-AU39*'Resid - Datos'!$J$75*'Resid - Datos'!$O$7</f>
        <v>-134208.14062500003</v>
      </c>
      <c r="AV68" s="87">
        <f>-AV39*'Resid - Datos'!$J$75*'Resid - Datos'!$O$7</f>
        <v>-134208.14062500003</v>
      </c>
      <c r="AW68" s="87">
        <f>-AW39*'Resid - Datos'!$J$75*'Resid - Datos'!$O$7</f>
        <v>-134208.14062500003</v>
      </c>
      <c r="AX68" s="87">
        <f>-AX39*'Resid - Datos'!$J$75*'Resid - Datos'!$O$7</f>
        <v>-134208.14062500003</v>
      </c>
      <c r="AY68" s="87">
        <f>-AY39*'Resid - Datos'!$J$75*'Resid - Datos'!$O$7</f>
        <v>-123884.43750000001</v>
      </c>
      <c r="AZ68" s="87">
        <f>-AZ39*'Resid - Datos'!$J$75*'Resid - Datos'!$O$7</f>
        <v>-113560.73437500001</v>
      </c>
      <c r="BA68" s="87">
        <f>-BA39*'Resid - Datos'!$J$75*'Resid - Datos'!$O$7</f>
        <v>-103237.03125000001</v>
      </c>
      <c r="BB68" s="87">
        <f>-BB39*'Resid - Datos'!$J$75*'Resid - Datos'!$O$7</f>
        <v>-92913.328125</v>
      </c>
      <c r="BC68" s="87">
        <f>-BC39*'Resid - Datos'!$J$75*'Resid - Datos'!$O$7</f>
        <v>-82589.625000000015</v>
      </c>
      <c r="BD68" s="87">
        <f>-BD39*'Resid - Datos'!$J$75*'Resid - Datos'!$O$7</f>
        <v>-72265.921875000015</v>
      </c>
      <c r="BE68" s="87">
        <f>-BE39*'Resid - Datos'!$J$75*'Resid - Datos'!$O$7</f>
        <v>-61942.218750000007</v>
      </c>
      <c r="BF68" s="87">
        <f>-BF39*'Resid - Datos'!$J$75*'Resid - Datos'!$O$7</f>
        <v>0</v>
      </c>
      <c r="BG68" s="87">
        <f>-BG39*'Resid - Datos'!$J$75*'Resid - Datos'!$O$7</f>
        <v>0</v>
      </c>
      <c r="BH68" s="87">
        <f>-BH39*'Resid - Datos'!$J$75*'Resid - Datos'!$O$7</f>
        <v>0</v>
      </c>
      <c r="BI68" s="87">
        <f>-BI39*'Resid - Datos'!$J$75*'Resid - Datos'!$O$7</f>
        <v>0</v>
      </c>
      <c r="BJ68" s="87">
        <f>-BJ39*'Resid - Datos'!$J$75*'Resid - Datos'!$O$7</f>
        <v>0</v>
      </c>
      <c r="BK68" s="87">
        <f>-BK39*'Resid - Datos'!$J$75*'Resid - Datos'!$O$7</f>
        <v>0</v>
      </c>
      <c r="BL68" s="87">
        <f>-BL39*'Resid - Datos'!$J$75*'Resid - Datos'!$O$7</f>
        <v>0</v>
      </c>
      <c r="BM68" s="87">
        <f>-BM39*'Resid - Datos'!$J$75*'Resid - Datos'!$O$7</f>
        <v>0</v>
      </c>
      <c r="BN68" s="87">
        <f>-BN39*'Resid - Datos'!$J$75*'Resid - Datos'!$O$7</f>
        <v>0</v>
      </c>
      <c r="BO68" s="87">
        <f>-BO39*'Resid - Datos'!$J$75*'Resid - Datos'!$O$7</f>
        <v>0</v>
      </c>
      <c r="BP68" s="87">
        <f>-BP39*'Resid - Datos'!$J$75*'Resid - Datos'!$O$7</f>
        <v>0</v>
      </c>
      <c r="BQ68" s="87">
        <f>-BQ39*'Resid - Datos'!$J$75*'Resid - Datos'!$O$7</f>
        <v>0</v>
      </c>
    </row>
    <row r="69" spans="1:69" s="70" customFormat="1" ht="14" collapsed="1">
      <c r="A69" s="111" t="s">
        <v>6</v>
      </c>
      <c r="B69" s="635"/>
      <c r="C69" s="607">
        <f t="shared" si="85"/>
        <v>-13714057.140000001</v>
      </c>
      <c r="D69" s="89">
        <f>SUM(D56:D68)</f>
        <v>0</v>
      </c>
      <c r="E69" s="89">
        <f t="shared" ref="E69:BP69" si="86">SUM(E56:E68)</f>
        <v>0</v>
      </c>
      <c r="F69" s="89">
        <f t="shared" si="86"/>
        <v>0</v>
      </c>
      <c r="G69" s="89">
        <f t="shared" si="86"/>
        <v>0</v>
      </c>
      <c r="H69" s="89">
        <f t="shared" si="86"/>
        <v>0</v>
      </c>
      <c r="I69" s="89">
        <f t="shared" si="86"/>
        <v>0</v>
      </c>
      <c r="J69" s="89">
        <f t="shared" si="86"/>
        <v>0</v>
      </c>
      <c r="K69" s="89">
        <f t="shared" si="86"/>
        <v>0</v>
      </c>
      <c r="L69" s="89">
        <f t="shared" si="86"/>
        <v>0</v>
      </c>
      <c r="M69" s="89">
        <f t="shared" si="86"/>
        <v>0</v>
      </c>
      <c r="N69" s="89">
        <f t="shared" si="86"/>
        <v>-137278.56999999998</v>
      </c>
      <c r="O69" s="89">
        <f t="shared" si="86"/>
        <v>-137278.56999999998</v>
      </c>
      <c r="P69" s="89">
        <f t="shared" si="86"/>
        <v>-133945</v>
      </c>
      <c r="Q69" s="89">
        <f t="shared" si="86"/>
        <v>-133945</v>
      </c>
      <c r="R69" s="89">
        <f t="shared" si="86"/>
        <v>-133945</v>
      </c>
      <c r="S69" s="89">
        <f t="shared" si="86"/>
        <v>-135797.1875</v>
      </c>
      <c r="T69" s="89">
        <f t="shared" si="86"/>
        <v>-153003.359375</v>
      </c>
      <c r="U69" s="89">
        <f t="shared" si="86"/>
        <v>-103237.03125</v>
      </c>
      <c r="V69" s="89">
        <f t="shared" si="86"/>
        <v>-120443.20312500001</v>
      </c>
      <c r="W69" s="89">
        <f t="shared" si="86"/>
        <v>-137649.375</v>
      </c>
      <c r="X69" s="89">
        <f t="shared" si="86"/>
        <v>-154855.546875</v>
      </c>
      <c r="Y69" s="89">
        <f t="shared" si="86"/>
        <v>-239356.96875</v>
      </c>
      <c r="Z69" s="89">
        <f t="shared" si="86"/>
        <v>-273386.953125</v>
      </c>
      <c r="AA69" s="89">
        <f t="shared" si="86"/>
        <v>-307416.9375</v>
      </c>
      <c r="AB69" s="89">
        <f t="shared" si="86"/>
        <v>-341446.921875</v>
      </c>
      <c r="AC69" s="89">
        <f t="shared" si="86"/>
        <v>-358270.734375</v>
      </c>
      <c r="AD69" s="89">
        <f t="shared" si="86"/>
        <v>-375094.546875</v>
      </c>
      <c r="AE69" s="89">
        <f t="shared" si="86"/>
        <v>-459213.609375</v>
      </c>
      <c r="AF69" s="89">
        <f t="shared" si="86"/>
        <v>-492861.234375</v>
      </c>
      <c r="AG69" s="89">
        <f t="shared" si="86"/>
        <v>-509302.6875</v>
      </c>
      <c r="AH69" s="89">
        <f t="shared" si="86"/>
        <v>-632599.140625</v>
      </c>
      <c r="AI69" s="89">
        <f t="shared" si="86"/>
        <v>-632216.78125</v>
      </c>
      <c r="AJ69" s="89">
        <f t="shared" si="86"/>
        <v>-631834.42187500012</v>
      </c>
      <c r="AK69" s="89">
        <f t="shared" si="86"/>
        <v>-619319.375</v>
      </c>
      <c r="AL69" s="89">
        <f t="shared" si="86"/>
        <v>-663123.21875</v>
      </c>
      <c r="AM69" s="89">
        <f t="shared" si="86"/>
        <v>-602813.25</v>
      </c>
      <c r="AN69" s="89">
        <f t="shared" si="86"/>
        <v>-476037.42187500006</v>
      </c>
      <c r="AO69" s="89">
        <f t="shared" si="86"/>
        <v>-469537.31250000006</v>
      </c>
      <c r="AP69" s="89">
        <f t="shared" si="86"/>
        <v>-463037.20312500006</v>
      </c>
      <c r="AQ69" s="89">
        <f t="shared" si="86"/>
        <v>-456537.09375000006</v>
      </c>
      <c r="AR69" s="89">
        <f t="shared" si="86"/>
        <v>-483146.98437500006</v>
      </c>
      <c r="AS69" s="89">
        <f t="shared" si="86"/>
        <v>-459823.06250000006</v>
      </c>
      <c r="AT69" s="89">
        <f t="shared" si="86"/>
        <v>-319270.07812500006</v>
      </c>
      <c r="AU69" s="89">
        <f t="shared" si="86"/>
        <v>-302446.26562500006</v>
      </c>
      <c r="AV69" s="89">
        <f t="shared" si="86"/>
        <v>-285622.45312500006</v>
      </c>
      <c r="AW69" s="89">
        <f t="shared" si="86"/>
        <v>-268798.64062500006</v>
      </c>
      <c r="AX69" s="89">
        <f t="shared" si="86"/>
        <v>-285084.82812500006</v>
      </c>
      <c r="AY69" s="89">
        <f t="shared" si="86"/>
        <v>-257937.31250000006</v>
      </c>
      <c r="AZ69" s="89">
        <f t="shared" si="86"/>
        <v>-113560.73437500001</v>
      </c>
      <c r="BA69" s="89">
        <f t="shared" si="86"/>
        <v>-103237.03125000001</v>
      </c>
      <c r="BB69" s="89">
        <f t="shared" si="86"/>
        <v>-92913.328125</v>
      </c>
      <c r="BC69" s="89">
        <f t="shared" si="86"/>
        <v>-82589.625000000015</v>
      </c>
      <c r="BD69" s="89">
        <f t="shared" si="86"/>
        <v>-92583.421875000015</v>
      </c>
      <c r="BE69" s="89">
        <f t="shared" si="86"/>
        <v>-82259.718750000015</v>
      </c>
      <c r="BF69" s="89">
        <f t="shared" si="86"/>
        <v>0</v>
      </c>
      <c r="BG69" s="89">
        <f t="shared" si="86"/>
        <v>0</v>
      </c>
      <c r="BH69" s="89">
        <f t="shared" si="86"/>
        <v>0</v>
      </c>
      <c r="BI69" s="89">
        <f t="shared" si="86"/>
        <v>0</v>
      </c>
      <c r="BJ69" s="89">
        <f t="shared" si="86"/>
        <v>0</v>
      </c>
      <c r="BK69" s="89">
        <f t="shared" si="86"/>
        <v>0</v>
      </c>
      <c r="BL69" s="89">
        <f t="shared" si="86"/>
        <v>0</v>
      </c>
      <c r="BM69" s="89">
        <f t="shared" si="86"/>
        <v>0</v>
      </c>
      <c r="BN69" s="89">
        <f t="shared" si="86"/>
        <v>0</v>
      </c>
      <c r="BO69" s="89">
        <f t="shared" si="86"/>
        <v>0</v>
      </c>
      <c r="BP69" s="89">
        <f t="shared" si="86"/>
        <v>0</v>
      </c>
      <c r="BQ69" s="89">
        <f t="shared" ref="BQ69" si="87">SUM(BQ56:BQ68)</f>
        <v>0</v>
      </c>
    </row>
    <row r="70" spans="1:69" s="70" customFormat="1" ht="14">
      <c r="A70" s="78"/>
      <c r="B70" s="69"/>
      <c r="C70" s="69"/>
    </row>
    <row r="71" spans="1:69" s="70" customFormat="1" ht="14">
      <c r="A71" s="107" t="s">
        <v>365</v>
      </c>
      <c r="B71" s="84"/>
      <c r="C71" s="84"/>
    </row>
    <row r="72" spans="1:69" s="112" customFormat="1" ht="14" hidden="1" outlineLevel="1">
      <c r="A72" s="83" t="str">
        <f>'Resid - Datos'!A78</f>
        <v>Infraestructura + Parquización Interna</v>
      </c>
      <c r="B72" s="643"/>
      <c r="C72" s="610">
        <f>SUM(D72:BQ72)</f>
        <v>-219645.71200000003</v>
      </c>
      <c r="D72" s="83">
        <f>-'Resid - Datos'!$L$78*D41*'Resid - Datos'!$O$7</f>
        <v>0</v>
      </c>
      <c r="E72" s="83">
        <f>-'Resid - Datos'!$L$78*E41*'Resid - Datos'!$O$7</f>
        <v>0</v>
      </c>
      <c r="F72" s="83">
        <f>-'Resid - Datos'!$L$78*F41*'Resid - Datos'!$O$7</f>
        <v>0</v>
      </c>
      <c r="G72" s="83">
        <f>-'Resid - Datos'!$L$78*G41*'Resid - Datos'!$O$7</f>
        <v>0</v>
      </c>
      <c r="H72" s="83">
        <f>-'Resid - Datos'!$L$78*H41*'Resid - Datos'!$O$7</f>
        <v>0</v>
      </c>
      <c r="I72" s="83">
        <f>-'Resid - Datos'!$L$78*I41*'Resid - Datos'!$O$7</f>
        <v>0</v>
      </c>
      <c r="J72" s="83">
        <f>-'Resid - Datos'!$L$78*J41*'Resid - Datos'!$O$7</f>
        <v>0</v>
      </c>
      <c r="K72" s="83">
        <f>-'Resid - Datos'!$L$78*K41*'Resid - Datos'!$O$7</f>
        <v>0</v>
      </c>
      <c r="L72" s="83">
        <f>-'Resid - Datos'!$L$78*L41*'Resid - Datos'!$O$7</f>
        <v>0</v>
      </c>
      <c r="M72" s="83">
        <f>-'Resid - Datos'!$L$78*M41*'Resid - Datos'!$O$7</f>
        <v>0</v>
      </c>
      <c r="N72" s="83">
        <f>-'Resid - Datos'!$L$78*N41*'Resid - Datos'!$O$7</f>
        <v>0</v>
      </c>
      <c r="O72" s="83">
        <f>-'Resid - Datos'!$L$78*O41*'Resid - Datos'!$O$7</f>
        <v>-10982.285600000001</v>
      </c>
      <c r="P72" s="83">
        <f>-'Resid - Datos'!$L$78*P41*'Resid - Datos'!$O$7</f>
        <v>-10982.285600000001</v>
      </c>
      <c r="Q72" s="83">
        <f>-'Resid - Datos'!$L$78*Q41*'Resid - Datos'!$O$7</f>
        <v>-10982.285600000001</v>
      </c>
      <c r="R72" s="83">
        <f>-'Resid - Datos'!$L$78*R41*'Resid - Datos'!$O$7</f>
        <v>-10982.285600000001</v>
      </c>
      <c r="S72" s="83">
        <f>-'Resid - Datos'!$L$78*S41*'Resid - Datos'!$O$7</f>
        <v>-3294.68568</v>
      </c>
      <c r="T72" s="83">
        <f>-'Resid - Datos'!$L$78*T41*'Resid - Datos'!$O$7</f>
        <v>-3294.68568</v>
      </c>
      <c r="U72" s="83">
        <f>-'Resid - Datos'!$L$78*U41*'Resid - Datos'!$O$7</f>
        <v>-3294.68568</v>
      </c>
      <c r="V72" s="83">
        <f>-'Resid - Datos'!$L$78*V41*'Resid - Datos'!$O$7</f>
        <v>-3294.68568</v>
      </c>
      <c r="W72" s="83">
        <f>-'Resid - Datos'!$L$78*W41*'Resid - Datos'!$O$7</f>
        <v>-3294.68568</v>
      </c>
      <c r="X72" s="83">
        <f>-'Resid - Datos'!$L$78*X41*'Resid - Datos'!$O$7</f>
        <v>-3294.68568</v>
      </c>
      <c r="Y72" s="83">
        <f>-'Resid - Datos'!$L$78*Y41*'Resid - Datos'!$O$7</f>
        <v>-3294.68568</v>
      </c>
      <c r="Z72" s="83">
        <f>-'Resid - Datos'!$L$78*Z41*'Resid - Datos'!$O$7</f>
        <v>-3294.68568</v>
      </c>
      <c r="AA72" s="83">
        <f>-'Resid - Datos'!$L$78*AA41*'Resid - Datos'!$O$7</f>
        <v>-3294.68568</v>
      </c>
      <c r="AB72" s="83">
        <f>-'Resid - Datos'!$L$78*AB41*'Resid - Datos'!$O$7</f>
        <v>-3294.68568</v>
      </c>
      <c r="AC72" s="83">
        <f>-'Resid - Datos'!$L$78*AC41*'Resid - Datos'!$O$7</f>
        <v>-3294.68568</v>
      </c>
      <c r="AD72" s="83">
        <f>-'Resid - Datos'!$L$78*AD41*'Resid - Datos'!$O$7</f>
        <v>-3294.68568</v>
      </c>
      <c r="AE72" s="83">
        <f>-'Resid - Datos'!$L$78*AE41*'Resid - Datos'!$O$7</f>
        <v>-3294.68568</v>
      </c>
      <c r="AF72" s="83">
        <f>-'Resid - Datos'!$L$78*AF41*'Resid - Datos'!$O$7</f>
        <v>-3294.68568</v>
      </c>
      <c r="AG72" s="83">
        <f>-'Resid - Datos'!$L$78*AG41*'Resid - Datos'!$O$7</f>
        <v>-3294.68568</v>
      </c>
      <c r="AH72" s="83">
        <f>-'Resid - Datos'!$L$78*AH41*'Resid - Datos'!$O$7</f>
        <v>-3294.68568</v>
      </c>
      <c r="AI72" s="83">
        <f>-'Resid - Datos'!$L$78*AI41*'Resid - Datos'!$O$7</f>
        <v>-3294.68568</v>
      </c>
      <c r="AJ72" s="83">
        <f>-'Resid - Datos'!$L$78*AJ41*'Resid - Datos'!$O$7</f>
        <v>-3294.68568</v>
      </c>
      <c r="AK72" s="83">
        <f>-'Resid - Datos'!$L$78*AK41*'Resid - Datos'!$O$7</f>
        <v>-5491.1428000000005</v>
      </c>
      <c r="AL72" s="83">
        <f>-'Resid - Datos'!$L$78*AL41*'Resid - Datos'!$O$7</f>
        <v>-5491.1428000000005</v>
      </c>
      <c r="AM72" s="83">
        <f>-'Resid - Datos'!$L$78*AM41*'Resid - Datos'!$O$7</f>
        <v>-5491.1428000000005</v>
      </c>
      <c r="AN72" s="83">
        <f>-'Resid - Datos'!$L$78*AN41*'Resid - Datos'!$O$7</f>
        <v>-5491.1428000000005</v>
      </c>
      <c r="AO72" s="83">
        <f>-'Resid - Datos'!$L$78*AO41*'Resid - Datos'!$O$7</f>
        <v>-5491.1428000000005</v>
      </c>
      <c r="AP72" s="83">
        <f>-'Resid - Datos'!$L$78*AP41*'Resid - Datos'!$O$7</f>
        <v>-5491.1428000000005</v>
      </c>
      <c r="AQ72" s="83">
        <f>-'Resid - Datos'!$L$78*AQ41*'Resid - Datos'!$O$7</f>
        <v>-5491.1428000000005</v>
      </c>
      <c r="AR72" s="83">
        <f>-'Resid - Datos'!$L$78*AR41*'Resid - Datos'!$O$7</f>
        <v>-5491.1428000000005</v>
      </c>
      <c r="AS72" s="83">
        <f>-'Resid - Datos'!$L$78*AS41*'Resid - Datos'!$O$7</f>
        <v>-5491.1428000000005</v>
      </c>
      <c r="AT72" s="83">
        <f>-'Resid - Datos'!$L$78*AT41*'Resid - Datos'!$O$7</f>
        <v>-5491.1428000000005</v>
      </c>
      <c r="AU72" s="83">
        <f>-'Resid - Datos'!$L$78*AU41*'Resid - Datos'!$O$7</f>
        <v>-5491.1428000000005</v>
      </c>
      <c r="AV72" s="83">
        <f>-'Resid - Datos'!$L$78*AV41*'Resid - Datos'!$O$7</f>
        <v>-5491.1428000000005</v>
      </c>
      <c r="AW72" s="83">
        <f>-'Resid - Datos'!$L$78*AW41*'Resid - Datos'!$O$7</f>
        <v>-5491.1428000000005</v>
      </c>
      <c r="AX72" s="83">
        <f>-'Resid - Datos'!$L$78*AX41*'Resid - Datos'!$O$7</f>
        <v>-5491.1428000000005</v>
      </c>
      <c r="AY72" s="83">
        <f>-'Resid - Datos'!$L$78*AY41*'Resid - Datos'!$O$7</f>
        <v>-5491.1428000000005</v>
      </c>
      <c r="AZ72" s="83">
        <f>-'Resid - Datos'!$L$78*AZ41*'Resid - Datos'!$O$7</f>
        <v>-5491.1428000000005</v>
      </c>
      <c r="BA72" s="83">
        <f>-'Resid - Datos'!$L$78*BA41*'Resid - Datos'!$O$7</f>
        <v>-5491.1428000000005</v>
      </c>
      <c r="BB72" s="83">
        <f>-'Resid - Datos'!$L$78*BB41*'Resid - Datos'!$O$7</f>
        <v>-5491.1428000000005</v>
      </c>
      <c r="BC72" s="83">
        <f>-'Resid - Datos'!$L$78*BC41*'Resid - Datos'!$O$7</f>
        <v>-4392.9142400000001</v>
      </c>
      <c r="BD72" s="83">
        <f>-'Resid - Datos'!$L$78*BD41*'Resid - Datos'!$O$7</f>
        <v>-4392.9142400000001</v>
      </c>
      <c r="BE72" s="83">
        <f>-'Resid - Datos'!$L$78*BE41*'Resid - Datos'!$O$7</f>
        <v>-4392.9142400000001</v>
      </c>
      <c r="BF72" s="83">
        <f>-'Resid - Datos'!$L$78*BF41*'Resid - Datos'!$O$7</f>
        <v>-4392.9142400000001</v>
      </c>
      <c r="BG72" s="83">
        <f>-'Resid - Datos'!$L$78*BG41*'Resid - Datos'!$O$7</f>
        <v>0</v>
      </c>
      <c r="BH72" s="83">
        <f>-'Resid - Datos'!$L$78*BH41*'Resid - Datos'!$O$7</f>
        <v>0</v>
      </c>
      <c r="BI72" s="83">
        <f>-'Resid - Datos'!$L$78*BI41*'Resid - Datos'!$O$7</f>
        <v>0</v>
      </c>
      <c r="BJ72" s="83">
        <f>-'Resid - Datos'!$L$78*BJ41*'Resid - Datos'!$O$7</f>
        <v>0</v>
      </c>
      <c r="BK72" s="83">
        <f>-'Resid - Datos'!$L$78*BK41*'Resid - Datos'!$O$7</f>
        <v>0</v>
      </c>
      <c r="BL72" s="83">
        <f>-'Resid - Datos'!$L$78*BL41*'Resid - Datos'!$O$7</f>
        <v>0</v>
      </c>
      <c r="BM72" s="83">
        <f>-'Resid - Datos'!$L$78*BM41*'Resid - Datos'!$O$7</f>
        <v>0</v>
      </c>
      <c r="BN72" s="83">
        <f>-'Resid - Datos'!$L$78*BN41*'Resid - Datos'!$O$7</f>
        <v>0</v>
      </c>
      <c r="BO72" s="83">
        <f>-'Resid - Datos'!$L$78*BO41*'Resid - Datos'!$O$7</f>
        <v>0</v>
      </c>
      <c r="BP72" s="83">
        <f>-'Resid - Datos'!$L$78*BP41*'Resid - Datos'!$O$7</f>
        <v>0</v>
      </c>
      <c r="BQ72" s="83">
        <f>-'Resid - Datos'!$L$78*BQ41*'Resid - Datos'!$O$7</f>
        <v>0</v>
      </c>
    </row>
    <row r="73" spans="1:69" s="112" customFormat="1" ht="14" hidden="1" outlineLevel="1">
      <c r="A73" s="112" t="str">
        <f>'Resid - Datos'!A79</f>
        <v>Equipamientos</v>
      </c>
      <c r="B73" s="641"/>
      <c r="C73" s="633">
        <f>SUM(D73:BQ73)</f>
        <v>-100000</v>
      </c>
      <c r="D73" s="112">
        <f>-'Resid - Datos'!$L$79*D42*'Resid - Datos'!$O$7</f>
        <v>0</v>
      </c>
      <c r="E73" s="112">
        <f>-'Resid - Datos'!$L$79*E42*'Resid - Datos'!$O$7</f>
        <v>0</v>
      </c>
      <c r="F73" s="112">
        <f>-'Resid - Datos'!$L$79*F42*'Resid - Datos'!$O$7</f>
        <v>0</v>
      </c>
      <c r="G73" s="112">
        <f>-'Resid - Datos'!$L$79*G42*'Resid - Datos'!$O$7</f>
        <v>0</v>
      </c>
      <c r="H73" s="112">
        <f>-'Resid - Datos'!$L$79*H42*'Resid - Datos'!$O$7</f>
        <v>0</v>
      </c>
      <c r="I73" s="112">
        <f>-'Resid - Datos'!$L$79*I42*'Resid - Datos'!$O$7</f>
        <v>0</v>
      </c>
      <c r="J73" s="112">
        <f>-'Resid - Datos'!$L$79*J42*'Resid - Datos'!$O$7</f>
        <v>0</v>
      </c>
      <c r="K73" s="112">
        <f>-'Resid - Datos'!$L$79*K42*'Resid - Datos'!$O$7</f>
        <v>0</v>
      </c>
      <c r="L73" s="112">
        <f>-'Resid - Datos'!$L$79*L42*'Resid - Datos'!$O$7</f>
        <v>0</v>
      </c>
      <c r="M73" s="112">
        <f>-'Resid - Datos'!$L$79*M42*'Resid - Datos'!$O$7</f>
        <v>0</v>
      </c>
      <c r="N73" s="112">
        <f>-'Resid - Datos'!$L$79*N42*'Resid - Datos'!$O$7</f>
        <v>0</v>
      </c>
      <c r="O73" s="112">
        <f>-'Resid - Datos'!$L$79*O42*'Resid - Datos'!$O$7</f>
        <v>0</v>
      </c>
      <c r="P73" s="112">
        <f>-'Resid - Datos'!$L$79*P42*'Resid - Datos'!$O$7</f>
        <v>0</v>
      </c>
      <c r="Q73" s="112">
        <f>-'Resid - Datos'!$L$79*Q42*'Resid - Datos'!$O$7</f>
        <v>0</v>
      </c>
      <c r="R73" s="112">
        <f>-'Resid - Datos'!$L$79*R42*'Resid - Datos'!$O$7</f>
        <v>0</v>
      </c>
      <c r="S73" s="112">
        <f>-'Resid - Datos'!$L$79*S42*'Resid - Datos'!$O$7</f>
        <v>0</v>
      </c>
      <c r="T73" s="112">
        <f>-'Resid - Datos'!$L$79*T42*'Resid - Datos'!$O$7</f>
        <v>0</v>
      </c>
      <c r="U73" s="112">
        <f>-'Resid - Datos'!$L$79*U42*'Resid - Datos'!$O$7</f>
        <v>0</v>
      </c>
      <c r="V73" s="112">
        <f>-'Resid - Datos'!$L$79*V42*'Resid - Datos'!$O$7</f>
        <v>0</v>
      </c>
      <c r="W73" s="112">
        <f>-'Resid - Datos'!$L$79*W42*'Resid - Datos'!$O$7</f>
        <v>0</v>
      </c>
      <c r="X73" s="112">
        <f>-'Resid - Datos'!$L$79*X42*'Resid - Datos'!$O$7</f>
        <v>0</v>
      </c>
      <c r="Y73" s="112">
        <f>-'Resid - Datos'!$L$79*Y42*'Resid - Datos'!$O$7</f>
        <v>0</v>
      </c>
      <c r="Z73" s="112">
        <f>-'Resid - Datos'!$L$79*Z42*'Resid - Datos'!$O$7</f>
        <v>0</v>
      </c>
      <c r="AA73" s="112">
        <f>-'Resid - Datos'!$L$79*AA42*'Resid - Datos'!$O$7</f>
        <v>0</v>
      </c>
      <c r="AB73" s="112">
        <f>-'Resid - Datos'!$L$79*AB42*'Resid - Datos'!$O$7</f>
        <v>0</v>
      </c>
      <c r="AC73" s="112">
        <f>-'Resid - Datos'!$L$79*AC42*'Resid - Datos'!$O$7</f>
        <v>0</v>
      </c>
      <c r="AD73" s="112">
        <f>-'Resid - Datos'!$L$79*AD42*'Resid - Datos'!$O$7</f>
        <v>0</v>
      </c>
      <c r="AE73" s="112">
        <f>-'Resid - Datos'!$L$79*AE42*'Resid - Datos'!$O$7</f>
        <v>0</v>
      </c>
      <c r="AF73" s="112">
        <f>-'Resid - Datos'!$L$79*AF42*'Resid - Datos'!$O$7</f>
        <v>0</v>
      </c>
      <c r="AG73" s="112">
        <f>-'Resid - Datos'!$L$79*AG42*'Resid - Datos'!$O$7</f>
        <v>0</v>
      </c>
      <c r="AH73" s="112">
        <f>-'Resid - Datos'!$L$79*AH42*'Resid - Datos'!$O$7</f>
        <v>0</v>
      </c>
      <c r="AI73" s="112">
        <f>-'Resid - Datos'!$L$79*AI42*'Resid - Datos'!$O$7</f>
        <v>0</v>
      </c>
      <c r="AJ73" s="112">
        <f>-'Resid - Datos'!$L$79*AJ42*'Resid - Datos'!$O$7</f>
        <v>0</v>
      </c>
      <c r="AK73" s="112">
        <f>-'Resid - Datos'!$L$79*AK42*'Resid - Datos'!$O$7</f>
        <v>-20000</v>
      </c>
      <c r="AL73" s="112">
        <f>-'Resid - Datos'!$L$79*AL42*'Resid - Datos'!$O$7</f>
        <v>-20000</v>
      </c>
      <c r="AM73" s="112">
        <f>-'Resid - Datos'!$L$79*AM42*'Resid - Datos'!$O$7</f>
        <v>-20000</v>
      </c>
      <c r="AN73" s="112">
        <f>-'Resid - Datos'!$L$79*AN42*'Resid - Datos'!$O$7</f>
        <v>-10000</v>
      </c>
      <c r="AO73" s="112">
        <f>-'Resid - Datos'!$L$79*AO42*'Resid - Datos'!$O$7</f>
        <v>0</v>
      </c>
      <c r="AP73" s="112">
        <f>-'Resid - Datos'!$L$79*AP42*'Resid - Datos'!$O$7</f>
        <v>0</v>
      </c>
      <c r="AQ73" s="112">
        <f>-'Resid - Datos'!$L$79*AQ42*'Resid - Datos'!$O$7</f>
        <v>0</v>
      </c>
      <c r="AR73" s="112">
        <f>-'Resid - Datos'!$L$79*AR42*'Resid - Datos'!$O$7</f>
        <v>0</v>
      </c>
      <c r="AS73" s="112">
        <f>-'Resid - Datos'!$L$79*AS42*'Resid - Datos'!$O$7</f>
        <v>-5000</v>
      </c>
      <c r="AT73" s="112">
        <f>-'Resid - Datos'!$L$79*AT42*'Resid - Datos'!$O$7</f>
        <v>-5000</v>
      </c>
      <c r="AU73" s="112">
        <f>-'Resid - Datos'!$L$79*AU42*'Resid - Datos'!$O$7</f>
        <v>0</v>
      </c>
      <c r="AV73" s="112">
        <f>-'Resid - Datos'!$L$79*AV42*'Resid - Datos'!$O$7</f>
        <v>0</v>
      </c>
      <c r="AW73" s="112">
        <f>-'Resid - Datos'!$L$79*AW42*'Resid - Datos'!$O$7</f>
        <v>0</v>
      </c>
      <c r="AX73" s="112">
        <f>-'Resid - Datos'!$L$79*AX42*'Resid - Datos'!$O$7</f>
        <v>0</v>
      </c>
      <c r="AY73" s="112">
        <f>-'Resid - Datos'!$L$79*AY42*'Resid - Datos'!$O$7</f>
        <v>-10000</v>
      </c>
      <c r="AZ73" s="112">
        <f>-'Resid - Datos'!$L$79*AZ42*'Resid - Datos'!$O$7</f>
        <v>0</v>
      </c>
      <c r="BA73" s="112">
        <f>-'Resid - Datos'!$L$79*BA42*'Resid - Datos'!$O$7</f>
        <v>0</v>
      </c>
      <c r="BB73" s="112">
        <f>-'Resid - Datos'!$L$79*BB42*'Resid - Datos'!$O$7</f>
        <v>0</v>
      </c>
      <c r="BC73" s="112">
        <f>-'Resid - Datos'!$L$79*BC42*'Resid - Datos'!$O$7</f>
        <v>0</v>
      </c>
      <c r="BD73" s="112">
        <f>-'Resid - Datos'!$L$79*BD42*'Resid - Datos'!$O$7</f>
        <v>0</v>
      </c>
      <c r="BE73" s="112">
        <f>-'Resid - Datos'!$L$79*BE42*'Resid - Datos'!$O$7</f>
        <v>-10000</v>
      </c>
      <c r="BF73" s="112">
        <f>-'Resid - Datos'!$L$79*BF42*'Resid - Datos'!$O$7</f>
        <v>0</v>
      </c>
      <c r="BG73" s="112">
        <f>-'Resid - Datos'!$L$79*BG42*'Resid - Datos'!$O$7</f>
        <v>0</v>
      </c>
      <c r="BH73" s="112">
        <f>-'Resid - Datos'!$L$79*BH42*'Resid - Datos'!$O$7</f>
        <v>0</v>
      </c>
      <c r="BI73" s="112">
        <f>-'Resid - Datos'!$L$79*BI42*'Resid - Datos'!$O$7</f>
        <v>0</v>
      </c>
      <c r="BJ73" s="112">
        <f>-'Resid - Datos'!$L$79*BJ42*'Resid - Datos'!$O$7</f>
        <v>0</v>
      </c>
      <c r="BK73" s="112">
        <f>-'Resid - Datos'!$L$79*BK42*'Resid - Datos'!$O$7</f>
        <v>0</v>
      </c>
      <c r="BL73" s="112">
        <f>-'Resid - Datos'!$L$79*BL42*'Resid - Datos'!$O$7</f>
        <v>0</v>
      </c>
      <c r="BM73" s="112">
        <f>-'Resid - Datos'!$L$79*BM42*'Resid - Datos'!$O$7</f>
        <v>0</v>
      </c>
      <c r="BN73" s="112">
        <f>-'Resid - Datos'!$L$79*BN42*'Resid - Datos'!$O$7</f>
        <v>0</v>
      </c>
      <c r="BO73" s="112">
        <f>-'Resid - Datos'!$L$79*BO42*'Resid - Datos'!$O$7</f>
        <v>0</v>
      </c>
      <c r="BP73" s="112">
        <f>-'Resid - Datos'!$L$79*BP42*'Resid - Datos'!$O$7</f>
        <v>0</v>
      </c>
      <c r="BQ73" s="112">
        <f>-'Resid - Datos'!$L$79*BQ42*'Resid - Datos'!$O$7</f>
        <v>0</v>
      </c>
    </row>
    <row r="74" spans="1:69" s="112" customFormat="1" ht="14" hidden="1" outlineLevel="1">
      <c r="A74" s="110" t="str">
        <f>'Resid - Datos'!A80</f>
        <v>Contingencias</v>
      </c>
      <c r="B74" s="642"/>
      <c r="C74" s="612">
        <f>SUM(D74:BQ74)</f>
        <v>-701685.14260000002</v>
      </c>
      <c r="D74" s="112">
        <f>-'Resid - Datos'!$L$80*'Resid - Datos'!$O$7*(D69+D72+D73)/($C$69+$C$72+$C$73)</f>
        <v>0</v>
      </c>
      <c r="E74" s="112">
        <f>-'Resid - Datos'!$L$80*'Resid - Datos'!$O$7*(E69+E72+E73)/($C$69+$C$72+$C$73)</f>
        <v>0</v>
      </c>
      <c r="F74" s="112">
        <f>-'Resid - Datos'!$L$80*'Resid - Datos'!$O$7*(F69+F72+F73)/($C$69+$C$72+$C$73)</f>
        <v>0</v>
      </c>
      <c r="G74" s="112">
        <f>-'Resid - Datos'!$L$80*'Resid - Datos'!$O$7*(G69+G72+G73)/($C$69+$C$72+$C$73)</f>
        <v>0</v>
      </c>
      <c r="H74" s="112">
        <f>-'Resid - Datos'!$L$80*'Resid - Datos'!$O$7*(H69+H72+H73)/($C$69+$C$72+$C$73)</f>
        <v>0</v>
      </c>
      <c r="I74" s="112">
        <f>-'Resid - Datos'!$L$80*'Resid - Datos'!$O$7*(I69+I72+I73)/($C$69+$C$72+$C$73)</f>
        <v>0</v>
      </c>
      <c r="J74" s="112">
        <f>-'Resid - Datos'!$L$80*'Resid - Datos'!$O$7*(J69+J72+J73)/($C$69+$C$72+$C$73)</f>
        <v>0</v>
      </c>
      <c r="K74" s="112">
        <f>-'Resid - Datos'!$L$80*'Resid - Datos'!$O$7*(K69+K72+K73)/($C$69+$C$72+$C$73)</f>
        <v>0</v>
      </c>
      <c r="L74" s="112">
        <f>-'Resid - Datos'!$L$80*'Resid - Datos'!$O$7*(L69+L72+L73)/($C$69+$C$72+$C$73)</f>
        <v>0</v>
      </c>
      <c r="M74" s="112">
        <f>-'Resid - Datos'!$L$80*'Resid - Datos'!$O$7*(M69+M72+M73)/($C$69+$C$72+$C$73)</f>
        <v>0</v>
      </c>
      <c r="N74" s="112">
        <f>-'Resid - Datos'!$L$80*'Resid - Datos'!$O$7*(N69+N72+N73)/($C$69+$C$72+$C$73)</f>
        <v>-6863.9284999999991</v>
      </c>
      <c r="O74" s="112">
        <f>-'Resid - Datos'!$L$80*'Resid - Datos'!$O$7*(O69+O72+O73)/($C$69+$C$72+$C$73)</f>
        <v>-7413.0427799999998</v>
      </c>
      <c r="P74" s="112">
        <f>-'Resid - Datos'!$L$80*'Resid - Datos'!$O$7*(P69+P72+P73)/($C$69+$C$72+$C$73)</f>
        <v>-7246.3642799999998</v>
      </c>
      <c r="Q74" s="112">
        <f>-'Resid - Datos'!$L$80*'Resid - Datos'!$O$7*(Q69+Q72+Q73)/($C$69+$C$72+$C$73)</f>
        <v>-7246.3642799999998</v>
      </c>
      <c r="R74" s="112">
        <f>-'Resid - Datos'!$L$80*'Resid - Datos'!$O$7*(R69+R72+R73)/($C$69+$C$72+$C$73)</f>
        <v>-7246.3642799999998</v>
      </c>
      <c r="S74" s="112">
        <f>-'Resid - Datos'!$L$80*'Resid - Datos'!$O$7*(S69+S72+S73)/($C$69+$C$72+$C$73)</f>
        <v>-6954.5936590000001</v>
      </c>
      <c r="T74" s="112">
        <f>-'Resid - Datos'!$L$80*'Resid - Datos'!$O$7*(T69+T72+T73)/($C$69+$C$72+$C$73)</f>
        <v>-7814.9022527500001</v>
      </c>
      <c r="U74" s="112">
        <f>-'Resid - Datos'!$L$80*'Resid - Datos'!$O$7*(U69+U72+U73)/($C$69+$C$72+$C$73)</f>
        <v>-5326.5858465000001</v>
      </c>
      <c r="V74" s="112">
        <f>-'Resid - Datos'!$L$80*'Resid - Datos'!$O$7*(V69+V72+V73)/($C$69+$C$72+$C$73)</f>
        <v>-6186.894440250001</v>
      </c>
      <c r="W74" s="112">
        <f>-'Resid - Datos'!$L$80*'Resid - Datos'!$O$7*(W69+W72+W73)/($C$69+$C$72+$C$73)</f>
        <v>-7047.2030340000001</v>
      </c>
      <c r="X74" s="112">
        <f>-'Resid - Datos'!$L$80*'Resid - Datos'!$O$7*(X69+X72+X73)/($C$69+$C$72+$C$73)</f>
        <v>-7907.5116277500001</v>
      </c>
      <c r="Y74" s="112">
        <f>-'Resid - Datos'!$L$80*'Resid - Datos'!$O$7*(Y69+Y72+Y73)/($C$69+$C$72+$C$73)</f>
        <v>-12132.582721500001</v>
      </c>
      <c r="Z74" s="112">
        <f>-'Resid - Datos'!$L$80*'Resid - Datos'!$O$7*(Z69+Z72+Z73)/($C$69+$C$72+$C$73)</f>
        <v>-13834.08194025</v>
      </c>
      <c r="AA74" s="112">
        <f>-'Resid - Datos'!$L$80*'Resid - Datos'!$O$7*(AA69+AA72+AA73)/($C$69+$C$72+$C$73)</f>
        <v>-15535.581158999999</v>
      </c>
      <c r="AB74" s="112">
        <f>-'Resid - Datos'!$L$80*'Resid - Datos'!$O$7*(AB69+AB72+AB73)/($C$69+$C$72+$C$73)</f>
        <v>-17237.08037775</v>
      </c>
      <c r="AC74" s="112">
        <f>-'Resid - Datos'!$L$80*'Resid - Datos'!$O$7*(AC69+AC72+AC73)/($C$69+$C$72+$C$73)</f>
        <v>-18078.27100275</v>
      </c>
      <c r="AD74" s="112">
        <f>-'Resid - Datos'!$L$80*'Resid - Datos'!$O$7*(AD69+AD72+AD73)/($C$69+$C$72+$C$73)</f>
        <v>-18919.461627749999</v>
      </c>
      <c r="AE74" s="112">
        <f>-'Resid - Datos'!$L$80*'Resid - Datos'!$O$7*(AE69+AE72+AE73)/($C$69+$C$72+$C$73)</f>
        <v>-23125.414752750003</v>
      </c>
      <c r="AF74" s="112">
        <f>-'Resid - Datos'!$L$80*'Resid - Datos'!$O$7*(AF69+AF72+AF73)/($C$69+$C$72+$C$73)</f>
        <v>-24807.796002750001</v>
      </c>
      <c r="AG74" s="112">
        <f>-'Resid - Datos'!$L$80*'Resid - Datos'!$O$7*(AG69+AG72+AG73)/($C$69+$C$72+$C$73)</f>
        <v>-25629.868659</v>
      </c>
      <c r="AH74" s="112">
        <f>-'Resid - Datos'!$L$80*'Resid - Datos'!$O$7*(AH69+AH72+AH73)/($C$69+$C$72+$C$73)</f>
        <v>-31794.691315250002</v>
      </c>
      <c r="AI74" s="112">
        <f>-'Resid - Datos'!$L$80*'Resid - Datos'!$O$7*(AI69+AI72+AI73)/($C$69+$C$72+$C$73)</f>
        <v>-31775.573346499998</v>
      </c>
      <c r="AJ74" s="112">
        <f>-'Resid - Datos'!$L$80*'Resid - Datos'!$O$7*(AJ69+AJ72+AJ73)/($C$69+$C$72+$C$73)</f>
        <v>-31756.455377750004</v>
      </c>
      <c r="AK74" s="112">
        <f>-'Resid - Datos'!$L$80*'Resid - Datos'!$O$7*(AK69+AK72+AK73)/($C$69+$C$72+$C$73)</f>
        <v>-32240.525890000004</v>
      </c>
      <c r="AL74" s="112">
        <f>-'Resid - Datos'!$L$80*'Resid - Datos'!$O$7*(AL69+AL72+AL73)/($C$69+$C$72+$C$73)</f>
        <v>-34430.718077500002</v>
      </c>
      <c r="AM74" s="112">
        <f>-'Resid - Datos'!$L$80*'Resid - Datos'!$O$7*(AM69+AM72+AM73)/($C$69+$C$72+$C$73)</f>
        <v>-31415.219640000003</v>
      </c>
      <c r="AN74" s="112">
        <f>-'Resid - Datos'!$L$80*'Resid - Datos'!$O$7*(AN69+AN72+AN73)/($C$69+$C$72+$C$73)</f>
        <v>-24576.428233750004</v>
      </c>
      <c r="AO74" s="112">
        <f>-'Resid - Datos'!$L$80*'Resid - Datos'!$O$7*(AO69+AO72+AO73)/($C$69+$C$72+$C$73)</f>
        <v>-23751.422765000003</v>
      </c>
      <c r="AP74" s="112">
        <f>-'Resid - Datos'!$L$80*'Resid - Datos'!$O$7*(AP69+AP72+AP73)/($C$69+$C$72+$C$73)</f>
        <v>-23426.417296250002</v>
      </c>
      <c r="AQ74" s="112">
        <f>-'Resid - Datos'!$L$80*'Resid - Datos'!$O$7*(AQ69+AQ72+AQ73)/($C$69+$C$72+$C$73)</f>
        <v>-23101.4118275</v>
      </c>
      <c r="AR74" s="112">
        <f>-'Resid - Datos'!$L$80*'Resid - Datos'!$O$7*(AR69+AR72+AR73)/($C$69+$C$72+$C$73)</f>
        <v>-24431.906358750002</v>
      </c>
      <c r="AS74" s="112">
        <f>-'Resid - Datos'!$L$80*'Resid - Datos'!$O$7*(AS69+AS72+AS73)/($C$69+$C$72+$C$73)</f>
        <v>-23515.710265000002</v>
      </c>
      <c r="AT74" s="112">
        <f>-'Resid - Datos'!$L$80*'Resid - Datos'!$O$7*(AT69+AT72+AT73)/($C$69+$C$72+$C$73)</f>
        <v>-16488.061046250004</v>
      </c>
      <c r="AU74" s="112">
        <f>-'Resid - Datos'!$L$80*'Resid - Datos'!$O$7*(AU69+AU72+AU73)/($C$69+$C$72+$C$73)</f>
        <v>-15396.870421250002</v>
      </c>
      <c r="AV74" s="112">
        <f>-'Resid - Datos'!$L$80*'Resid - Datos'!$O$7*(AV69+AV72+AV73)/($C$69+$C$72+$C$73)</f>
        <v>-14555.679796250002</v>
      </c>
      <c r="AW74" s="112">
        <f>-'Resid - Datos'!$L$80*'Resid - Datos'!$O$7*(AW69+AW72+AW73)/($C$69+$C$72+$C$73)</f>
        <v>-13714.489171250003</v>
      </c>
      <c r="AX74" s="112">
        <f>-'Resid - Datos'!$L$80*'Resid - Datos'!$O$7*(AX69+AX72+AX73)/($C$69+$C$72+$C$73)</f>
        <v>-14528.798546250004</v>
      </c>
      <c r="AY74" s="112">
        <f>-'Resid - Datos'!$L$80*'Resid - Datos'!$O$7*(AY69+AY72+AY73)/($C$69+$C$72+$C$73)</f>
        <v>-13671.422765000001</v>
      </c>
      <c r="AZ74" s="112">
        <f>-'Resid - Datos'!$L$80*'Resid - Datos'!$O$7*(AZ69+AZ72+AZ73)/($C$69+$C$72+$C$73)</f>
        <v>-5952.5938587500004</v>
      </c>
      <c r="BA74" s="112">
        <f>-'Resid - Datos'!$L$80*'Resid - Datos'!$O$7*(BA69+BA72+BA73)/($C$69+$C$72+$C$73)</f>
        <v>-5436.4087025000008</v>
      </c>
      <c r="BB74" s="112">
        <f>-'Resid - Datos'!$L$80*'Resid - Datos'!$O$7*(BB69+BB72+BB73)/($C$69+$C$72+$C$73)</f>
        <v>-4920.2235462499993</v>
      </c>
      <c r="BC74" s="112">
        <f>-'Resid - Datos'!$L$80*'Resid - Datos'!$O$7*(BC69+BC72+BC73)/($C$69+$C$72+$C$73)</f>
        <v>-4349.1269620000012</v>
      </c>
      <c r="BD74" s="112">
        <f>-'Resid - Datos'!$L$80*'Resid - Datos'!$O$7*(BD69+BD72+BD73)/($C$69+$C$72+$C$73)</f>
        <v>-4848.8168057500006</v>
      </c>
      <c r="BE74" s="112">
        <f>-'Resid - Datos'!$L$80*'Resid - Datos'!$O$7*(BE69+BE72+BE73)/($C$69+$C$72+$C$73)</f>
        <v>-4832.631649500001</v>
      </c>
      <c r="BF74" s="112">
        <f>-'Resid - Datos'!$L$80*'Resid - Datos'!$O$7*(BF69+BF72+BF73)/($C$69+$C$72+$C$73)</f>
        <v>-219.645712</v>
      </c>
      <c r="BG74" s="112">
        <f>-'Resid - Datos'!$L$80*'Resid - Datos'!$O$7*(BG69+BG72+BG73)/($C$69+$C$72+$C$73)</f>
        <v>0</v>
      </c>
      <c r="BH74" s="112">
        <f>-'Resid - Datos'!$L$80*'Resid - Datos'!$O$7*(BH69+BH72+BH73)/($C$69+$C$72+$C$73)</f>
        <v>0</v>
      </c>
      <c r="BI74" s="112">
        <f>-'Resid - Datos'!$L$80*'Resid - Datos'!$O$7*(BI69+BI72+BI73)/($C$69+$C$72+$C$73)</f>
        <v>0</v>
      </c>
      <c r="BJ74" s="112">
        <f>-'Resid - Datos'!$L$80*'Resid - Datos'!$O$7*(BJ69+BJ72+BJ73)/($C$69+$C$72+$C$73)</f>
        <v>0</v>
      </c>
      <c r="BK74" s="112">
        <f>-'Resid - Datos'!$L$80*'Resid - Datos'!$O$7*(BK69+BK72+BK73)/($C$69+$C$72+$C$73)</f>
        <v>0</v>
      </c>
      <c r="BL74" s="112">
        <f>-'Resid - Datos'!$L$80*'Resid - Datos'!$O$7*(BL69+BL72+BL73)/($C$69+$C$72+$C$73)</f>
        <v>0</v>
      </c>
      <c r="BM74" s="112">
        <f>-'Resid - Datos'!$L$80*'Resid - Datos'!$O$7*(BM69+BM72+BM73)/($C$69+$C$72+$C$73)</f>
        <v>0</v>
      </c>
      <c r="BN74" s="112">
        <f>-'Resid - Datos'!$L$80*'Resid - Datos'!$O$7*(BN69+BN72+BN73)/($C$69+$C$72+$C$73)</f>
        <v>0</v>
      </c>
      <c r="BO74" s="112">
        <f>-'Resid - Datos'!$L$80*'Resid - Datos'!$O$7*(BO69+BO72+BO73)/($C$69+$C$72+$C$73)</f>
        <v>0</v>
      </c>
      <c r="BP74" s="112">
        <f>-'Resid - Datos'!$L$80*'Resid - Datos'!$O$7*(BP69+BP72+BP73)/($C$69+$C$72+$C$73)</f>
        <v>0</v>
      </c>
      <c r="BQ74" s="112">
        <f>-'Resid - Datos'!$L$80*'Resid - Datos'!$O$7*(BQ69+BQ72+BQ73)/($C$69+$C$72+$C$73)</f>
        <v>0</v>
      </c>
    </row>
    <row r="75" spans="1:69" s="116" customFormat="1" ht="14" collapsed="1">
      <c r="A75" s="111" t="s">
        <v>7</v>
      </c>
      <c r="B75" s="634"/>
      <c r="C75" s="607">
        <f>SUM(D75:BQ75)</f>
        <v>-1021330.8546000002</v>
      </c>
      <c r="D75" s="89">
        <f t="shared" ref="D75:BO75" si="88">SUM(D72:D74)</f>
        <v>0</v>
      </c>
      <c r="E75" s="89">
        <f t="shared" si="88"/>
        <v>0</v>
      </c>
      <c r="F75" s="89">
        <f t="shared" si="88"/>
        <v>0</v>
      </c>
      <c r="G75" s="89">
        <f t="shared" si="88"/>
        <v>0</v>
      </c>
      <c r="H75" s="89">
        <f t="shared" si="88"/>
        <v>0</v>
      </c>
      <c r="I75" s="89">
        <f t="shared" si="88"/>
        <v>0</v>
      </c>
      <c r="J75" s="89">
        <f t="shared" si="88"/>
        <v>0</v>
      </c>
      <c r="K75" s="89">
        <f t="shared" si="88"/>
        <v>0</v>
      </c>
      <c r="L75" s="89">
        <f t="shared" si="88"/>
        <v>0</v>
      </c>
      <c r="M75" s="89">
        <f t="shared" si="88"/>
        <v>0</v>
      </c>
      <c r="N75" s="89">
        <f t="shared" si="88"/>
        <v>-6863.9284999999991</v>
      </c>
      <c r="O75" s="89">
        <f t="shared" si="88"/>
        <v>-18395.328379999999</v>
      </c>
      <c r="P75" s="89">
        <f t="shared" si="88"/>
        <v>-18228.649880000001</v>
      </c>
      <c r="Q75" s="89">
        <f t="shared" si="88"/>
        <v>-18228.649880000001</v>
      </c>
      <c r="R75" s="89">
        <f t="shared" si="88"/>
        <v>-18228.649880000001</v>
      </c>
      <c r="S75" s="89">
        <f t="shared" si="88"/>
        <v>-10249.279339000001</v>
      </c>
      <c r="T75" s="89">
        <f t="shared" si="88"/>
        <v>-11109.587932750001</v>
      </c>
      <c r="U75" s="89">
        <f t="shared" si="88"/>
        <v>-8621.2715265000006</v>
      </c>
      <c r="V75" s="89">
        <f t="shared" si="88"/>
        <v>-9481.5801202500006</v>
      </c>
      <c r="W75" s="89">
        <f t="shared" si="88"/>
        <v>-10341.888714000001</v>
      </c>
      <c r="X75" s="89">
        <f t="shared" si="88"/>
        <v>-11202.197307750001</v>
      </c>
      <c r="Y75" s="89">
        <f t="shared" si="88"/>
        <v>-15427.268401500001</v>
      </c>
      <c r="Z75" s="89">
        <f t="shared" si="88"/>
        <v>-17128.767620250001</v>
      </c>
      <c r="AA75" s="89">
        <f t="shared" si="88"/>
        <v>-18830.266839</v>
      </c>
      <c r="AB75" s="89">
        <f t="shared" si="88"/>
        <v>-20531.766057749999</v>
      </c>
      <c r="AC75" s="89">
        <f t="shared" si="88"/>
        <v>-21372.956682749998</v>
      </c>
      <c r="AD75" s="89">
        <f t="shared" si="88"/>
        <v>-22214.147307749998</v>
      </c>
      <c r="AE75" s="89">
        <f t="shared" si="88"/>
        <v>-26420.100432750001</v>
      </c>
      <c r="AF75" s="89">
        <f t="shared" si="88"/>
        <v>-28102.48168275</v>
      </c>
      <c r="AG75" s="89">
        <f t="shared" si="88"/>
        <v>-28924.554338999998</v>
      </c>
      <c r="AH75" s="89">
        <f t="shared" si="88"/>
        <v>-35089.376995250001</v>
      </c>
      <c r="AI75" s="89">
        <f t="shared" si="88"/>
        <v>-35070.259026499996</v>
      </c>
      <c r="AJ75" s="89">
        <f t="shared" si="88"/>
        <v>-35051.141057750006</v>
      </c>
      <c r="AK75" s="89">
        <f t="shared" si="88"/>
        <v>-57731.668690000006</v>
      </c>
      <c r="AL75" s="89">
        <f t="shared" si="88"/>
        <v>-59921.860877500003</v>
      </c>
      <c r="AM75" s="89">
        <f t="shared" si="88"/>
        <v>-56906.362440000004</v>
      </c>
      <c r="AN75" s="89">
        <f t="shared" si="88"/>
        <v>-40067.571033750006</v>
      </c>
      <c r="AO75" s="89">
        <f t="shared" si="88"/>
        <v>-29242.565565000004</v>
      </c>
      <c r="AP75" s="89">
        <f t="shared" si="88"/>
        <v>-28917.560096250003</v>
      </c>
      <c r="AQ75" s="89">
        <f t="shared" si="88"/>
        <v>-28592.554627500002</v>
      </c>
      <c r="AR75" s="89">
        <f t="shared" si="88"/>
        <v>-29923.049158750004</v>
      </c>
      <c r="AS75" s="89">
        <f t="shared" si="88"/>
        <v>-34006.853065000003</v>
      </c>
      <c r="AT75" s="89">
        <f t="shared" si="88"/>
        <v>-26979.203846250006</v>
      </c>
      <c r="AU75" s="89">
        <f t="shared" si="88"/>
        <v>-20888.013221250003</v>
      </c>
      <c r="AV75" s="89">
        <f t="shared" si="88"/>
        <v>-20046.822596250004</v>
      </c>
      <c r="AW75" s="89">
        <f t="shared" si="88"/>
        <v>-19205.631971250004</v>
      </c>
      <c r="AX75" s="89">
        <f t="shared" si="88"/>
        <v>-20019.941346250005</v>
      </c>
      <c r="AY75" s="89">
        <f t="shared" si="88"/>
        <v>-29162.565565000004</v>
      </c>
      <c r="AZ75" s="89">
        <f t="shared" si="88"/>
        <v>-11443.73665875</v>
      </c>
      <c r="BA75" s="89">
        <f t="shared" si="88"/>
        <v>-10927.551502500002</v>
      </c>
      <c r="BB75" s="89">
        <f t="shared" si="88"/>
        <v>-10411.366346250001</v>
      </c>
      <c r="BC75" s="89">
        <f t="shared" si="88"/>
        <v>-8742.0412020000003</v>
      </c>
      <c r="BD75" s="89">
        <f t="shared" si="88"/>
        <v>-9241.7310457500007</v>
      </c>
      <c r="BE75" s="89">
        <f t="shared" si="88"/>
        <v>-19225.545889500001</v>
      </c>
      <c r="BF75" s="89">
        <f t="shared" si="88"/>
        <v>-4612.5599519999996</v>
      </c>
      <c r="BG75" s="89">
        <f t="shared" si="88"/>
        <v>0</v>
      </c>
      <c r="BH75" s="89">
        <f t="shared" si="88"/>
        <v>0</v>
      </c>
      <c r="BI75" s="89">
        <f t="shared" si="88"/>
        <v>0</v>
      </c>
      <c r="BJ75" s="89">
        <f t="shared" si="88"/>
        <v>0</v>
      </c>
      <c r="BK75" s="89">
        <f t="shared" si="88"/>
        <v>0</v>
      </c>
      <c r="BL75" s="89">
        <f t="shared" si="88"/>
        <v>0</v>
      </c>
      <c r="BM75" s="89">
        <f t="shared" si="88"/>
        <v>0</v>
      </c>
      <c r="BN75" s="89">
        <f t="shared" si="88"/>
        <v>0</v>
      </c>
      <c r="BO75" s="89">
        <f t="shared" si="88"/>
        <v>0</v>
      </c>
      <c r="BP75" s="89">
        <f t="shared" ref="BP75:BQ75" si="89">SUM(BP72:BP74)</f>
        <v>0</v>
      </c>
      <c r="BQ75" s="89">
        <f t="shared" si="89"/>
        <v>0</v>
      </c>
    </row>
    <row r="76" spans="1:69" s="70" customFormat="1" ht="14">
      <c r="A76" s="68"/>
      <c r="B76" s="66"/>
      <c r="C76" s="79"/>
      <c r="D76" s="66"/>
      <c r="E76" s="66"/>
      <c r="F76" s="66"/>
      <c r="G76" s="66"/>
      <c r="H76" s="66"/>
      <c r="I76" s="66"/>
      <c r="J76" s="66"/>
      <c r="K76" s="66"/>
      <c r="L76" s="66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  <c r="AA76" s="66"/>
      <c r="AB76" s="66"/>
      <c r="AC76" s="66"/>
      <c r="AD76" s="66"/>
      <c r="AE76" s="66"/>
      <c r="AF76" s="66"/>
      <c r="AG76" s="66"/>
      <c r="AH76" s="66"/>
      <c r="AI76" s="66"/>
      <c r="AJ76" s="66"/>
      <c r="AK76" s="66"/>
      <c r="AL76" s="66"/>
      <c r="AM76" s="66"/>
      <c r="AN76" s="66"/>
      <c r="AO76" s="66"/>
      <c r="AP76" s="66"/>
      <c r="AQ76" s="66"/>
      <c r="AR76" s="66"/>
      <c r="AS76" s="66"/>
      <c r="AT76" s="66"/>
      <c r="AU76" s="66"/>
      <c r="AV76" s="66"/>
      <c r="AW76" s="66"/>
      <c r="AX76" s="66"/>
      <c r="AY76" s="66"/>
      <c r="AZ76" s="66"/>
      <c r="BA76" s="66"/>
      <c r="BB76" s="66"/>
      <c r="BC76" s="66"/>
      <c r="BD76" s="66"/>
      <c r="BE76" s="66"/>
      <c r="BF76" s="66"/>
      <c r="BG76" s="66"/>
      <c r="BH76" s="66"/>
      <c r="BI76" s="66"/>
      <c r="BJ76" s="66"/>
      <c r="BK76" s="66"/>
      <c r="BL76" s="66"/>
      <c r="BM76" s="66"/>
      <c r="BN76" s="66"/>
      <c r="BO76" s="66"/>
      <c r="BP76" s="66"/>
      <c r="BQ76" s="66"/>
    </row>
    <row r="77" spans="1:69" s="70" customFormat="1" ht="14">
      <c r="A77" s="236" t="s">
        <v>363</v>
      </c>
      <c r="B77" s="63"/>
      <c r="C77" s="113"/>
      <c r="D77" s="66"/>
      <c r="E77" s="66"/>
      <c r="F77" s="66"/>
      <c r="G77" s="66"/>
      <c r="H77" s="66"/>
      <c r="I77" s="66"/>
      <c r="J77" s="66"/>
      <c r="K77" s="66"/>
      <c r="L77" s="66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/>
      <c r="Z77" s="66"/>
      <c r="AA77" s="66"/>
      <c r="AB77" s="66"/>
      <c r="AC77" s="66"/>
      <c r="AD77" s="66"/>
      <c r="AE77" s="66"/>
      <c r="AF77" s="66"/>
      <c r="AG77" s="66"/>
      <c r="AH77" s="66"/>
      <c r="AI77" s="66"/>
      <c r="AJ77" s="66"/>
      <c r="AK77" s="66"/>
      <c r="AL77" s="66"/>
      <c r="AM77" s="66"/>
      <c r="AN77" s="66"/>
      <c r="AO77" s="66"/>
      <c r="AP77" s="66"/>
      <c r="AQ77" s="66"/>
      <c r="AR77" s="66"/>
      <c r="AS77" s="66"/>
      <c r="AT77" s="66"/>
      <c r="AU77" s="66"/>
      <c r="AV77" s="66"/>
      <c r="AW77" s="66"/>
      <c r="AX77" s="66"/>
      <c r="AY77" s="66"/>
      <c r="AZ77" s="66"/>
      <c r="BA77" s="66"/>
      <c r="BB77" s="66"/>
      <c r="BC77" s="66"/>
      <c r="BD77" s="66"/>
      <c r="BE77" s="66"/>
      <c r="BF77" s="66"/>
      <c r="BG77" s="66"/>
      <c r="BH77" s="66"/>
      <c r="BI77" s="66"/>
      <c r="BJ77" s="66"/>
      <c r="BK77" s="66"/>
      <c r="BL77" s="66"/>
      <c r="BM77" s="66"/>
      <c r="BN77" s="66"/>
      <c r="BO77" s="66"/>
      <c r="BP77" s="66"/>
      <c r="BQ77" s="66"/>
    </row>
    <row r="78" spans="1:69" s="112" customFormat="1" ht="14" hidden="1" outlineLevel="1">
      <c r="A78" s="82" t="str">
        <f>'Resid - Datos'!I18</f>
        <v>Tasas y Derechos Municipales</v>
      </c>
      <c r="B78" s="613">
        <f>+'Resid - Datos'!M18</f>
        <v>1.4999999999999999E-2</v>
      </c>
      <c r="C78" s="610">
        <f t="shared" ref="C78:C84" si="90">SUM(D78:BQ78)</f>
        <v>-209005.54278000005</v>
      </c>
      <c r="D78" s="83">
        <f>$B$78*($C$69+$C$72)*D43</f>
        <v>0</v>
      </c>
      <c r="E78" s="83">
        <f>$B$78*($C$69+$C$72)*E43</f>
        <v>0</v>
      </c>
      <c r="F78" s="83">
        <f>$B$78*($C$69+$C$72)*F43</f>
        <v>0</v>
      </c>
      <c r="G78" s="83">
        <f>$B$78*($C$69+$C$72)*G43</f>
        <v>0</v>
      </c>
      <c r="H78" s="83">
        <f>$B$78*($C$69+$C$72)*H43</f>
        <v>0</v>
      </c>
      <c r="I78" s="83">
        <f>$B$78*($C$69+$C$72)*I43</f>
        <v>0</v>
      </c>
      <c r="J78" s="83">
        <f>$B$78*($C$69+$C$72)*J43</f>
        <v>0</v>
      </c>
      <c r="K78" s="83">
        <f>$B$78*($C$69+$C$72)*K43</f>
        <v>0</v>
      </c>
      <c r="L78" s="83">
        <f>$B$78*($C$69+$C$72)*L43</f>
        <v>-83602.217111999998</v>
      </c>
      <c r="M78" s="83">
        <f>$B$78*($C$69+$C$72)*M43</f>
        <v>0</v>
      </c>
      <c r="N78" s="83">
        <f>$B$78*($C$69+$C$72)*N43</f>
        <v>0</v>
      </c>
      <c r="O78" s="83">
        <f>$B$78*($C$69+$C$72)*O43</f>
        <v>-83602.217111999998</v>
      </c>
      <c r="P78" s="83">
        <f>$B$78*($C$69+$C$72)*P43</f>
        <v>0</v>
      </c>
      <c r="Q78" s="83">
        <f>$B$78*($C$69+$C$72)*Q43</f>
        <v>0</v>
      </c>
      <c r="R78" s="83">
        <f>$B$78*($C$69+$C$72)*R43</f>
        <v>0</v>
      </c>
      <c r="S78" s="83">
        <f>$B$78*($C$69+$C$72)*S43</f>
        <v>0</v>
      </c>
      <c r="T78" s="83">
        <f>$B$78*($C$69+$C$72)*T43</f>
        <v>0</v>
      </c>
      <c r="U78" s="83">
        <f>$B$78*($C$69+$C$72)*U43</f>
        <v>0</v>
      </c>
      <c r="V78" s="83">
        <f>$B$78*($C$69+$C$72)*V43</f>
        <v>0</v>
      </c>
      <c r="W78" s="83">
        <f>$B$78*($C$69+$C$72)*W43</f>
        <v>0</v>
      </c>
      <c r="X78" s="83">
        <f>$B$78*($C$69+$C$72)*X43</f>
        <v>0</v>
      </c>
      <c r="Y78" s="83">
        <f>$B$78*($C$69+$C$72)*Y43</f>
        <v>0</v>
      </c>
      <c r="Z78" s="83">
        <f>$B$78*($C$69+$C$72)*Z43</f>
        <v>0</v>
      </c>
      <c r="AA78" s="83">
        <f>$B$78*($C$69+$C$72)*AA43</f>
        <v>0</v>
      </c>
      <c r="AB78" s="83">
        <f>$B$78*($C$69+$C$72)*AB43</f>
        <v>0</v>
      </c>
      <c r="AC78" s="83">
        <f>$B$78*($C$69+$C$72)*AC43</f>
        <v>0</v>
      </c>
      <c r="AD78" s="83">
        <f>$B$78*($C$69+$C$72)*AD43</f>
        <v>0</v>
      </c>
      <c r="AE78" s="83">
        <f>$B$78*($C$69+$C$72)*AE43</f>
        <v>0</v>
      </c>
      <c r="AF78" s="83">
        <f>$B$78*($C$69+$C$72)*AF43</f>
        <v>0</v>
      </c>
      <c r="AG78" s="83">
        <f>$B$78*($C$69+$C$72)*AG43</f>
        <v>0</v>
      </c>
      <c r="AH78" s="83">
        <f>$B$78*($C$69+$C$72)*AH43</f>
        <v>0</v>
      </c>
      <c r="AI78" s="83">
        <f>$B$78*($C$69+$C$72)*AI43</f>
        <v>0</v>
      </c>
      <c r="AJ78" s="83">
        <f>$B$78*($C$69+$C$72)*AJ43</f>
        <v>0</v>
      </c>
      <c r="AK78" s="83">
        <f>$B$78*($C$69+$C$72)*AK43</f>
        <v>0</v>
      </c>
      <c r="AL78" s="83">
        <f>$B$78*($C$69+$C$72)*AL43</f>
        <v>0</v>
      </c>
      <c r="AM78" s="83">
        <f>$B$78*($C$69+$C$72)*AM43</f>
        <v>-10450.277139</v>
      </c>
      <c r="AN78" s="83">
        <f>$B$78*($C$69+$C$72)*AN43</f>
        <v>0</v>
      </c>
      <c r="AO78" s="83">
        <f>$B$78*($C$69+$C$72)*AO43</f>
        <v>0</v>
      </c>
      <c r="AP78" s="83">
        <f>$B$78*($C$69+$C$72)*AP43</f>
        <v>0</v>
      </c>
      <c r="AQ78" s="83">
        <f>$B$78*($C$69+$C$72)*AQ43</f>
        <v>0</v>
      </c>
      <c r="AR78" s="83">
        <f>$B$78*($C$69+$C$72)*AR43</f>
        <v>0</v>
      </c>
      <c r="AS78" s="83">
        <f>$B$78*($C$69+$C$72)*AS43</f>
        <v>-10450.277139</v>
      </c>
      <c r="AT78" s="83">
        <f>$B$78*($C$69+$C$72)*AT43</f>
        <v>0</v>
      </c>
      <c r="AU78" s="83">
        <f>$B$78*($C$69+$C$72)*AU43</f>
        <v>0</v>
      </c>
      <c r="AV78" s="83">
        <f>$B$78*($C$69+$C$72)*AV43</f>
        <v>0</v>
      </c>
      <c r="AW78" s="83">
        <f>$B$78*($C$69+$C$72)*AW43</f>
        <v>0</v>
      </c>
      <c r="AX78" s="83">
        <f>$B$78*($C$69+$C$72)*AX43</f>
        <v>0</v>
      </c>
      <c r="AY78" s="83">
        <f>$B$78*($C$69+$C$72)*AY43</f>
        <v>-10450.277139</v>
      </c>
      <c r="AZ78" s="83">
        <f>$B$78*($C$69+$C$72)*AZ43</f>
        <v>0</v>
      </c>
      <c r="BA78" s="83">
        <f>$B$78*($C$69+$C$72)*BA43</f>
        <v>0</v>
      </c>
      <c r="BB78" s="83">
        <f>$B$78*($C$69+$C$72)*BB43</f>
        <v>0</v>
      </c>
      <c r="BC78" s="83">
        <f>$B$78*($C$69+$C$72)*BC43</f>
        <v>0</v>
      </c>
      <c r="BD78" s="83">
        <f>$B$78*($C$69+$C$72)*BD43</f>
        <v>0</v>
      </c>
      <c r="BE78" s="83">
        <f>$B$78*($C$69+$C$72)*BE43</f>
        <v>-10450.277139</v>
      </c>
      <c r="BF78" s="83">
        <f>$B$78*($C$69+$C$72)*BF43</f>
        <v>0</v>
      </c>
      <c r="BG78" s="83">
        <f>$B$78*($C$69+$C$72)*BG43</f>
        <v>0</v>
      </c>
      <c r="BH78" s="83">
        <f>$B$78*($C$69+$C$72)*BH43</f>
        <v>0</v>
      </c>
      <c r="BI78" s="83">
        <f>$B$78*($C$69+$C$72)*BI43</f>
        <v>0</v>
      </c>
      <c r="BJ78" s="83">
        <f>$B$78*($C$69+$C$72)*BJ43</f>
        <v>0</v>
      </c>
      <c r="BK78" s="83">
        <f>$B$78*($C$69+$C$72)*BK43</f>
        <v>0</v>
      </c>
      <c r="BL78" s="83">
        <f>$B$78*($C$69+$C$72)*BL43</f>
        <v>0</v>
      </c>
      <c r="BM78" s="83">
        <f>$B$78*($C$69+$C$72)*BM43</f>
        <v>0</v>
      </c>
      <c r="BN78" s="83">
        <f>$B$78*($C$69+$C$72)*BN43</f>
        <v>0</v>
      </c>
      <c r="BO78" s="83">
        <f>$B$78*($C$69+$C$72)*BO43</f>
        <v>0</v>
      </c>
      <c r="BP78" s="83">
        <f>$B$78*($C$69+$C$72)*BP43</f>
        <v>0</v>
      </c>
      <c r="BQ78" s="83">
        <f>$B$78*($C$69+$C$72)*BQ43</f>
        <v>0</v>
      </c>
    </row>
    <row r="79" spans="1:69" s="112" customFormat="1" ht="14" hidden="1" outlineLevel="1">
      <c r="A79" s="84" t="str">
        <f>'Resid - Datos'!I19</f>
        <v>Honorarios Proyecto y DDO</v>
      </c>
      <c r="B79" s="615">
        <f>+'Resid - Datos'!M19</f>
        <v>0.04</v>
      </c>
      <c r="C79" s="633">
        <f t="shared" si="90"/>
        <v>-557348.11407999997</v>
      </c>
      <c r="D79" s="112">
        <f>$B$79*($C$69+$C$72)*D44</f>
        <v>0</v>
      </c>
      <c r="E79" s="112">
        <f>$B$79*($C$69+$C$72)*E44</f>
        <v>-27867.405704000001</v>
      </c>
      <c r="F79" s="112">
        <f>$B$79*($C$69+$C$72)*F44</f>
        <v>-27867.405704000001</v>
      </c>
      <c r="G79" s="112">
        <f>$B$79*($C$69+$C$72)*G44</f>
        <v>-27867.405704000001</v>
      </c>
      <c r="H79" s="112">
        <f>$B$79*($C$69+$C$72)*H44</f>
        <v>-27867.405704000001</v>
      </c>
      <c r="I79" s="112">
        <f>$B$79*($C$69+$C$72)*I44</f>
        <v>-27867.405704000001</v>
      </c>
      <c r="J79" s="112">
        <f>$B$79*($C$69+$C$72)*J44</f>
        <v>-27867.405704000001</v>
      </c>
      <c r="K79" s="112">
        <f>$B$79*($C$69+$C$72)*K44</f>
        <v>-27867.405704000001</v>
      </c>
      <c r="L79" s="112">
        <f>$B$79*($C$69+$C$72)*L44</f>
        <v>-27867.405704000001</v>
      </c>
      <c r="M79" s="112">
        <f>$B$79*($C$69+$C$72)*M44</f>
        <v>-7115.0823074042555</v>
      </c>
      <c r="N79" s="112">
        <f>$B$79*($C$69+$C$72)*N44</f>
        <v>-7115.0823074042555</v>
      </c>
      <c r="O79" s="112">
        <f>$B$79*($C$69+$C$72)*O44</f>
        <v>-7115.0823074042555</v>
      </c>
      <c r="P79" s="112">
        <f>$B$79*($C$69+$C$72)*P44</f>
        <v>-7115.0823074042555</v>
      </c>
      <c r="Q79" s="112">
        <f>$B$79*($C$69+$C$72)*Q44</f>
        <v>-7115.0823074042555</v>
      </c>
      <c r="R79" s="112">
        <f>$B$79*($C$69+$C$72)*R44</f>
        <v>-7115.0823074042555</v>
      </c>
      <c r="S79" s="112">
        <f>$B$79*($C$69+$C$72)*S44</f>
        <v>-7115.0823074042555</v>
      </c>
      <c r="T79" s="112">
        <f>$B$79*($C$69+$C$72)*T44</f>
        <v>-7115.0823074042555</v>
      </c>
      <c r="U79" s="112">
        <f>$B$79*($C$69+$C$72)*U44</f>
        <v>-7115.0823074042555</v>
      </c>
      <c r="V79" s="112">
        <f>$B$79*($C$69+$C$72)*V44</f>
        <v>-7115.0823074042555</v>
      </c>
      <c r="W79" s="112">
        <f>$B$79*($C$69+$C$72)*W44</f>
        <v>-7115.0823074042555</v>
      </c>
      <c r="X79" s="112">
        <f>$B$79*($C$69+$C$72)*X44</f>
        <v>-7115.0823074042555</v>
      </c>
      <c r="Y79" s="112">
        <f>$B$79*($C$69+$C$72)*Y44</f>
        <v>-7115.0823074042555</v>
      </c>
      <c r="Z79" s="112">
        <f>$B$79*($C$69+$C$72)*Z44</f>
        <v>-7115.0823074042555</v>
      </c>
      <c r="AA79" s="112">
        <f>$B$79*($C$69+$C$72)*AA44</f>
        <v>-7115.0823074042555</v>
      </c>
      <c r="AB79" s="112">
        <f>$B$79*($C$69+$C$72)*AB44</f>
        <v>-7115.0823074042555</v>
      </c>
      <c r="AC79" s="112">
        <f>$B$79*($C$69+$C$72)*AC44</f>
        <v>-7115.0823074042555</v>
      </c>
      <c r="AD79" s="112">
        <f>$B$79*($C$69+$C$72)*AD44</f>
        <v>-7115.0823074042555</v>
      </c>
      <c r="AE79" s="112">
        <f>$B$79*($C$69+$C$72)*AE44</f>
        <v>-7115.0823074042555</v>
      </c>
      <c r="AF79" s="112">
        <f>$B$79*($C$69+$C$72)*AF44</f>
        <v>-7115.0823074042555</v>
      </c>
      <c r="AG79" s="112">
        <f>$B$79*($C$69+$C$72)*AG44</f>
        <v>-7115.0823074042555</v>
      </c>
      <c r="AH79" s="112">
        <f>$B$79*($C$69+$C$72)*AH44</f>
        <v>-7115.0823074042555</v>
      </c>
      <c r="AI79" s="112">
        <f>$B$79*($C$69+$C$72)*AI44</f>
        <v>-7115.0823074042555</v>
      </c>
      <c r="AJ79" s="112">
        <f>$B$79*($C$69+$C$72)*AJ44</f>
        <v>-7115.0823074042555</v>
      </c>
      <c r="AK79" s="112">
        <f>$B$79*($C$69+$C$72)*AK44</f>
        <v>-7115.0823074042555</v>
      </c>
      <c r="AL79" s="112">
        <f>$B$79*($C$69+$C$72)*AL44</f>
        <v>-7115.0823074042555</v>
      </c>
      <c r="AM79" s="112">
        <f>$B$79*($C$69+$C$72)*AM44</f>
        <v>-7115.0823074042555</v>
      </c>
      <c r="AN79" s="112">
        <f>$B$79*($C$69+$C$72)*AN44</f>
        <v>-7115.0823074042555</v>
      </c>
      <c r="AO79" s="112">
        <f>$B$79*($C$69+$C$72)*AO44</f>
        <v>-7115.0823074042555</v>
      </c>
      <c r="AP79" s="112">
        <f>$B$79*($C$69+$C$72)*AP44</f>
        <v>-7115.0823074042555</v>
      </c>
      <c r="AQ79" s="112">
        <f>$B$79*($C$69+$C$72)*AQ44</f>
        <v>-7115.0823074042555</v>
      </c>
      <c r="AR79" s="112">
        <f>$B$79*($C$69+$C$72)*AR44</f>
        <v>-7115.0823074042555</v>
      </c>
      <c r="AS79" s="112">
        <f>$B$79*($C$69+$C$72)*AS44</f>
        <v>-7115.0823074042555</v>
      </c>
      <c r="AT79" s="112">
        <f>$B$79*($C$69+$C$72)*AT44</f>
        <v>-7115.0823074042555</v>
      </c>
      <c r="AU79" s="112">
        <f>$B$79*($C$69+$C$72)*AU44</f>
        <v>-7115.0823074042555</v>
      </c>
      <c r="AV79" s="112">
        <f>$B$79*($C$69+$C$72)*AV44</f>
        <v>-7115.0823074042555</v>
      </c>
      <c r="AW79" s="112">
        <f>$B$79*($C$69+$C$72)*AW44</f>
        <v>-7115.0823074042555</v>
      </c>
      <c r="AX79" s="112">
        <f>$B$79*($C$69+$C$72)*AX44</f>
        <v>-7115.0823074042555</v>
      </c>
      <c r="AY79" s="112">
        <f>$B$79*($C$69+$C$72)*AY44</f>
        <v>-7115.0823074042555</v>
      </c>
      <c r="AZ79" s="112">
        <f>$B$79*($C$69+$C$72)*AZ44</f>
        <v>-7115.0823074042555</v>
      </c>
      <c r="BA79" s="112">
        <f>$B$79*($C$69+$C$72)*BA44</f>
        <v>-7115.0823074042555</v>
      </c>
      <c r="BB79" s="112">
        <f>$B$79*($C$69+$C$72)*BB44</f>
        <v>-7115.0823074042555</v>
      </c>
      <c r="BC79" s="112">
        <f>$B$79*($C$69+$C$72)*BC44</f>
        <v>-7115.0823074042555</v>
      </c>
      <c r="BD79" s="112">
        <f>$B$79*($C$69+$C$72)*BD44</f>
        <v>-7115.0823074042555</v>
      </c>
      <c r="BE79" s="112">
        <f>$B$79*($C$69+$C$72)*BE44</f>
        <v>-7115.0823074042555</v>
      </c>
      <c r="BF79" s="112">
        <f>$B$79*($C$69+$C$72)*BF44</f>
        <v>-7115.0823074042555</v>
      </c>
      <c r="BG79" s="112">
        <f>$B$79*($C$69+$C$72)*BG44</f>
        <v>-7115.0823074042555</v>
      </c>
      <c r="BH79" s="112">
        <f>$B$79*($C$69+$C$72)*BH44</f>
        <v>0</v>
      </c>
      <c r="BI79" s="112">
        <f>$B$79*($C$69+$C$72)*BI44</f>
        <v>0</v>
      </c>
      <c r="BJ79" s="112">
        <f>$B$79*($C$69+$C$72)*BJ44</f>
        <v>0</v>
      </c>
      <c r="BK79" s="112">
        <f>$B$79*($C$69+$C$72)*BK44</f>
        <v>0</v>
      </c>
      <c r="BL79" s="112">
        <f>$B$79*($C$69+$C$72)*BL44</f>
        <v>0</v>
      </c>
      <c r="BM79" s="112">
        <f>$B$79*($C$69+$C$72)*BM44</f>
        <v>0</v>
      </c>
      <c r="BN79" s="112">
        <f>$B$79*($C$69+$C$72)*BN44</f>
        <v>0</v>
      </c>
      <c r="BO79" s="112">
        <f>$B$79*($C$69+$C$72)*BO44</f>
        <v>0</v>
      </c>
      <c r="BP79" s="112">
        <f>$B$79*($C$69+$C$72)*BP44</f>
        <v>0</v>
      </c>
      <c r="BQ79" s="112">
        <f>$B$79*($C$69+$C$72)*BQ44</f>
        <v>0</v>
      </c>
    </row>
    <row r="80" spans="1:69" s="112" customFormat="1" ht="14" hidden="1" outlineLevel="1">
      <c r="A80" s="84" t="str">
        <f>'Resid - Datos'!I20</f>
        <v>Honorarios Gerenciamiento</v>
      </c>
      <c r="B80" s="615">
        <f>'Resid - Datos'!M20</f>
        <v>0.03</v>
      </c>
      <c r="C80" s="633">
        <f t="shared" si="90"/>
        <v>-418011.08555999957</v>
      </c>
      <c r="D80" s="112">
        <f>$B$80*($C$69+$C$72)*D45</f>
        <v>0</v>
      </c>
      <c r="E80" s="112">
        <f>$B$80*($C$69+$C$72)*E45</f>
        <v>0</v>
      </c>
      <c r="F80" s="112">
        <f>$B$80*($C$69+$C$72)*F45</f>
        <v>0</v>
      </c>
      <c r="G80" s="112">
        <f>$B$80*($C$69+$C$72)*G45</f>
        <v>0</v>
      </c>
      <c r="H80" s="112">
        <f>$B$80*($C$69+$C$72)*H45</f>
        <v>0</v>
      </c>
      <c r="I80" s="112">
        <f>$B$80*($C$69+$C$72)*I45</f>
        <v>0</v>
      </c>
      <c r="J80" s="112">
        <f>$B$80*($C$69+$C$72)*J45</f>
        <v>0</v>
      </c>
      <c r="K80" s="112">
        <f>$B$80*($C$69+$C$72)*K45</f>
        <v>0</v>
      </c>
      <c r="L80" s="112">
        <f>$B$80*($C$69+$C$72)*L45</f>
        <v>0</v>
      </c>
      <c r="M80" s="112">
        <f>$B$80*($C$69+$C$72)*M45</f>
        <v>0</v>
      </c>
      <c r="N80" s="112">
        <f>$B$80*($C$69+$C$72)*N45</f>
        <v>0</v>
      </c>
      <c r="O80" s="112">
        <f>$B$80*($C$69+$C$72)*O45</f>
        <v>-9289.1352346666663</v>
      </c>
      <c r="P80" s="112">
        <f>$B$80*($C$69+$C$72)*P45</f>
        <v>-9289.1352346666663</v>
      </c>
      <c r="Q80" s="112">
        <f>$B$80*($C$69+$C$72)*Q45</f>
        <v>-9289.1352346666663</v>
      </c>
      <c r="R80" s="112">
        <f>$B$80*($C$69+$C$72)*R45</f>
        <v>-9289.1352346666663</v>
      </c>
      <c r="S80" s="112">
        <f>$B$80*($C$69+$C$72)*S45</f>
        <v>-9289.1352346666663</v>
      </c>
      <c r="T80" s="112">
        <f>$B$80*($C$69+$C$72)*T45</f>
        <v>-9289.1352346666663</v>
      </c>
      <c r="U80" s="112">
        <f>$B$80*($C$69+$C$72)*U45</f>
        <v>-9289.1352346666663</v>
      </c>
      <c r="V80" s="112">
        <f>$B$80*($C$69+$C$72)*V45</f>
        <v>-9289.1352346666663</v>
      </c>
      <c r="W80" s="112">
        <f>$B$80*($C$69+$C$72)*W45</f>
        <v>-9289.1352346666663</v>
      </c>
      <c r="X80" s="112">
        <f>$B$80*($C$69+$C$72)*X45</f>
        <v>-9289.1352346666663</v>
      </c>
      <c r="Y80" s="112">
        <f>$B$80*($C$69+$C$72)*Y45</f>
        <v>-9289.1352346666663</v>
      </c>
      <c r="Z80" s="112">
        <f>$B$80*($C$69+$C$72)*Z45</f>
        <v>-9289.1352346666663</v>
      </c>
      <c r="AA80" s="112">
        <f>$B$80*($C$69+$C$72)*AA45</f>
        <v>-9289.1352346666663</v>
      </c>
      <c r="AB80" s="112">
        <f>$B$80*($C$69+$C$72)*AB45</f>
        <v>-9289.1352346666663</v>
      </c>
      <c r="AC80" s="112">
        <f>$B$80*($C$69+$C$72)*AC45</f>
        <v>-9289.1352346666663</v>
      </c>
      <c r="AD80" s="112">
        <f>$B$80*($C$69+$C$72)*AD45</f>
        <v>-9289.1352346666663</v>
      </c>
      <c r="AE80" s="112">
        <f>$B$80*($C$69+$C$72)*AE45</f>
        <v>-9289.1352346666663</v>
      </c>
      <c r="AF80" s="112">
        <f>$B$80*($C$69+$C$72)*AF45</f>
        <v>-9289.1352346666663</v>
      </c>
      <c r="AG80" s="112">
        <f>$B$80*($C$69+$C$72)*AG45</f>
        <v>-9289.1352346666663</v>
      </c>
      <c r="AH80" s="112">
        <f>$B$80*($C$69+$C$72)*AH45</f>
        <v>-9289.1352346666663</v>
      </c>
      <c r="AI80" s="112">
        <f>$B$80*($C$69+$C$72)*AI45</f>
        <v>-9289.1352346666663</v>
      </c>
      <c r="AJ80" s="112">
        <f>$B$80*($C$69+$C$72)*AJ45</f>
        <v>-9289.1352346666663</v>
      </c>
      <c r="AK80" s="112">
        <f>$B$80*($C$69+$C$72)*AK45</f>
        <v>-9289.1352346666663</v>
      </c>
      <c r="AL80" s="112">
        <f>$B$80*($C$69+$C$72)*AL45</f>
        <v>-9289.1352346666663</v>
      </c>
      <c r="AM80" s="112">
        <f>$B$80*($C$69+$C$72)*AM45</f>
        <v>-9289.1352346666663</v>
      </c>
      <c r="AN80" s="112">
        <f>$B$80*($C$69+$C$72)*AN45</f>
        <v>-9289.1352346666663</v>
      </c>
      <c r="AO80" s="112">
        <f>$B$80*($C$69+$C$72)*AO45</f>
        <v>-9289.1352346666663</v>
      </c>
      <c r="AP80" s="112">
        <f>$B$80*($C$69+$C$72)*AP45</f>
        <v>-9289.1352346666663</v>
      </c>
      <c r="AQ80" s="112">
        <f>$B$80*($C$69+$C$72)*AQ45</f>
        <v>-9289.1352346666663</v>
      </c>
      <c r="AR80" s="112">
        <f>$B$80*($C$69+$C$72)*AR45</f>
        <v>-9289.1352346666663</v>
      </c>
      <c r="AS80" s="112">
        <f>$B$80*($C$69+$C$72)*AS45</f>
        <v>-9289.1352346666663</v>
      </c>
      <c r="AT80" s="112">
        <f>$B$80*($C$69+$C$72)*AT45</f>
        <v>-9289.1352346666663</v>
      </c>
      <c r="AU80" s="112">
        <f>$B$80*($C$69+$C$72)*AU45</f>
        <v>-9289.1352346666663</v>
      </c>
      <c r="AV80" s="112">
        <f>$B$80*($C$69+$C$72)*AV45</f>
        <v>-9289.1352346666663</v>
      </c>
      <c r="AW80" s="112">
        <f>$B$80*($C$69+$C$72)*AW45</f>
        <v>-9289.1352346666663</v>
      </c>
      <c r="AX80" s="112">
        <f>$B$80*($C$69+$C$72)*AX45</f>
        <v>-9289.1352346666663</v>
      </c>
      <c r="AY80" s="112">
        <f>$B$80*($C$69+$C$72)*AY45</f>
        <v>-9289.1352346666663</v>
      </c>
      <c r="AZ80" s="112">
        <f>$B$80*($C$69+$C$72)*AZ45</f>
        <v>-9289.1352346666663</v>
      </c>
      <c r="BA80" s="112">
        <f>$B$80*($C$69+$C$72)*BA45</f>
        <v>-9289.1352346666663</v>
      </c>
      <c r="BB80" s="112">
        <f>$B$80*($C$69+$C$72)*BB45</f>
        <v>-9289.1352346666663</v>
      </c>
      <c r="BC80" s="112">
        <f>$B$80*($C$69+$C$72)*BC45</f>
        <v>-9289.1352346666663</v>
      </c>
      <c r="BD80" s="112">
        <f>$B$80*($C$69+$C$72)*BD45</f>
        <v>-9289.1352346666663</v>
      </c>
      <c r="BE80" s="112">
        <f>$B$80*($C$69+$C$72)*BE45</f>
        <v>-9289.1352346666663</v>
      </c>
      <c r="BF80" s="112">
        <f>$B$80*($C$69+$C$72)*BF45</f>
        <v>-9289.1352346666663</v>
      </c>
      <c r="BG80" s="112">
        <f>$B$80*($C$69+$C$72)*BG45</f>
        <v>-9289.1352346666663</v>
      </c>
      <c r="BH80" s="112">
        <f>$B$80*($C$69+$C$72)*BH45</f>
        <v>0</v>
      </c>
      <c r="BI80" s="112">
        <f>$B$80*($C$69+$C$72)*BI45</f>
        <v>0</v>
      </c>
      <c r="BJ80" s="112">
        <f>$B$80*($C$69+$C$72)*BJ45</f>
        <v>0</v>
      </c>
      <c r="BK80" s="112">
        <f>$B$80*($C$69+$C$72)*BK45</f>
        <v>0</v>
      </c>
      <c r="BL80" s="112">
        <f>$B$80*($C$69+$C$72)*BL45</f>
        <v>0</v>
      </c>
      <c r="BM80" s="112">
        <f>$B$80*($C$69+$C$72)*BM45</f>
        <v>0</v>
      </c>
      <c r="BN80" s="112">
        <f>$B$80*($C$69+$C$72)*BN45</f>
        <v>0</v>
      </c>
      <c r="BO80" s="112">
        <f>$B$80*($C$69+$C$72)*BO45</f>
        <v>0</v>
      </c>
      <c r="BP80" s="112">
        <f>$B$80*($C$69+$C$72)*BP45</f>
        <v>0</v>
      </c>
      <c r="BQ80" s="112">
        <f>$B$80*($C$69+$C$72)*BQ45</f>
        <v>0</v>
      </c>
    </row>
    <row r="81" spans="1:69" s="112" customFormat="1" ht="14" hidden="1" outlineLevel="1">
      <c r="A81" s="237" t="str">
        <f>'Resid - Datos'!I21</f>
        <v>Asesores</v>
      </c>
      <c r="B81" s="645">
        <f>'Resid - Datos'!M21</f>
        <v>8.0000000000000002E-3</v>
      </c>
      <c r="C81" s="646">
        <f t="shared" si="90"/>
        <v>-111469.62281599999</v>
      </c>
      <c r="D81" s="235">
        <f>$B$81*($C$69+$C$72)*D46</f>
        <v>0</v>
      </c>
      <c r="E81" s="235">
        <f>$B$81*($C$69+$C$72)*E46</f>
        <v>0</v>
      </c>
      <c r="F81" s="235">
        <f>$B$81*($C$69+$C$72)*F46</f>
        <v>0</v>
      </c>
      <c r="G81" s="235">
        <f>$B$81*($C$69+$C$72)*G46</f>
        <v>0</v>
      </c>
      <c r="H81" s="235">
        <f>$B$81*($C$69+$C$72)*H46</f>
        <v>-11146.962281600001</v>
      </c>
      <c r="I81" s="235">
        <f>$B$81*($C$69+$C$72)*I46</f>
        <v>-11146.962281600001</v>
      </c>
      <c r="J81" s="235">
        <f>$B$81*($C$69+$C$72)*J46</f>
        <v>-11146.962281600001</v>
      </c>
      <c r="K81" s="235">
        <f>$B$81*($C$69+$C$72)*K46</f>
        <v>-11146.962281600001</v>
      </c>
      <c r="L81" s="235">
        <f>$B$81*($C$69+$C$72)*L46</f>
        <v>-11146.962281600001</v>
      </c>
      <c r="M81" s="235">
        <f>$B$81*($C$69+$C$72)*M46</f>
        <v>-11146.962281600001</v>
      </c>
      <c r="N81" s="235">
        <f>$B$81*($C$69+$C$72)*N46</f>
        <v>-11146.962281600001</v>
      </c>
      <c r="O81" s="235">
        <f>$B$81*($C$69+$C$72)*O46</f>
        <v>0</v>
      </c>
      <c r="P81" s="235">
        <f>$B$81*($C$69+$C$72)*P46</f>
        <v>0</v>
      </c>
      <c r="Q81" s="235">
        <f>$B$81*($C$69+$C$72)*Q46</f>
        <v>0</v>
      </c>
      <c r="R81" s="235">
        <f>$B$81*($C$69+$C$72)*R46</f>
        <v>0</v>
      </c>
      <c r="S81" s="235">
        <f>$B$81*($C$69+$C$72)*S46</f>
        <v>0</v>
      </c>
      <c r="T81" s="235">
        <f>$B$81*($C$69+$C$72)*T46</f>
        <v>0</v>
      </c>
      <c r="U81" s="235">
        <f>$B$81*($C$69+$C$72)*U46</f>
        <v>0</v>
      </c>
      <c r="V81" s="235">
        <f>$B$81*($C$69+$C$72)*V46</f>
        <v>0</v>
      </c>
      <c r="W81" s="235">
        <f>$B$81*($C$69+$C$72)*W46</f>
        <v>0</v>
      </c>
      <c r="X81" s="235">
        <f>$B$81*($C$69+$C$72)*X46</f>
        <v>0</v>
      </c>
      <c r="Y81" s="235">
        <f>$B$81*($C$69+$C$72)*Y46</f>
        <v>0</v>
      </c>
      <c r="Z81" s="235">
        <f>$B$81*($C$69+$C$72)*Z46</f>
        <v>0</v>
      </c>
      <c r="AA81" s="235">
        <f>$B$81*($C$69+$C$72)*AA46</f>
        <v>0</v>
      </c>
      <c r="AB81" s="235">
        <f>$B$81*($C$69+$C$72)*AB46</f>
        <v>0</v>
      </c>
      <c r="AC81" s="235">
        <f>$B$81*($C$69+$C$72)*AC46</f>
        <v>0</v>
      </c>
      <c r="AD81" s="235">
        <f>$B$81*($C$69+$C$72)*AD46</f>
        <v>0</v>
      </c>
      <c r="AE81" s="235">
        <f>$B$81*($C$69+$C$72)*AE46</f>
        <v>0</v>
      </c>
      <c r="AF81" s="235">
        <f>$B$81*($C$69+$C$72)*AF46</f>
        <v>0</v>
      </c>
      <c r="AG81" s="235">
        <f>$B$81*($C$69+$C$72)*AG46</f>
        <v>0</v>
      </c>
      <c r="AH81" s="235">
        <f>$B$81*($C$69+$C$72)*AH46</f>
        <v>0</v>
      </c>
      <c r="AI81" s="235">
        <f>$B$81*($C$69+$C$72)*AI46</f>
        <v>0</v>
      </c>
      <c r="AJ81" s="235">
        <f>$B$81*($C$69+$C$72)*AJ46</f>
        <v>0</v>
      </c>
      <c r="AK81" s="235">
        <f>$B$81*($C$69+$C$72)*AK46</f>
        <v>0</v>
      </c>
      <c r="AL81" s="235">
        <f>$B$81*($C$69+$C$72)*AL46</f>
        <v>0</v>
      </c>
      <c r="AM81" s="235">
        <f>$B$81*($C$69+$C$72)*AM46</f>
        <v>-5573.4811408000005</v>
      </c>
      <c r="AN81" s="235">
        <f>$B$81*($C$69+$C$72)*AN46</f>
        <v>-5573.4811408000005</v>
      </c>
      <c r="AO81" s="235">
        <f>$B$81*($C$69+$C$72)*AO46</f>
        <v>0</v>
      </c>
      <c r="AP81" s="235">
        <f>$B$81*($C$69+$C$72)*AP46</f>
        <v>0</v>
      </c>
      <c r="AQ81" s="235">
        <f>$B$81*($C$69+$C$72)*AQ46</f>
        <v>0</v>
      </c>
      <c r="AR81" s="235">
        <f>$B$81*($C$69+$C$72)*AR46</f>
        <v>0</v>
      </c>
      <c r="AS81" s="235">
        <f>$B$81*($C$69+$C$72)*AS46</f>
        <v>-5573.4811408000005</v>
      </c>
      <c r="AT81" s="235">
        <f>$B$81*($C$69+$C$72)*AT46</f>
        <v>-5573.4811408000005</v>
      </c>
      <c r="AU81" s="235">
        <f>$B$81*($C$69+$C$72)*AU46</f>
        <v>0</v>
      </c>
      <c r="AV81" s="235">
        <f>$B$81*($C$69+$C$72)*AV46</f>
        <v>0</v>
      </c>
      <c r="AW81" s="235">
        <f>$B$81*($C$69+$C$72)*AW46</f>
        <v>0</v>
      </c>
      <c r="AX81" s="235">
        <f>$B$81*($C$69+$C$72)*AX46</f>
        <v>0</v>
      </c>
      <c r="AY81" s="235">
        <f>$B$81*($C$69+$C$72)*AY46</f>
        <v>-2786.7405704000003</v>
      </c>
      <c r="AZ81" s="235">
        <f>$B$81*($C$69+$C$72)*AZ46</f>
        <v>-2786.7405704000003</v>
      </c>
      <c r="BA81" s="235">
        <f>$B$81*($C$69+$C$72)*BA46</f>
        <v>0</v>
      </c>
      <c r="BB81" s="235">
        <f>$B$81*($C$69+$C$72)*BB46</f>
        <v>0</v>
      </c>
      <c r="BC81" s="235">
        <f>$B$81*($C$69+$C$72)*BC46</f>
        <v>0</v>
      </c>
      <c r="BD81" s="235">
        <f>$B$81*($C$69+$C$72)*BD46</f>
        <v>0</v>
      </c>
      <c r="BE81" s="235">
        <f>$B$81*($C$69+$C$72)*BE46</f>
        <v>-2786.7405704000003</v>
      </c>
      <c r="BF81" s="235">
        <f>$B$81*($C$69+$C$72)*BF46</f>
        <v>-2786.7405704000003</v>
      </c>
      <c r="BG81" s="235">
        <f>$B$81*($C$69+$C$72)*BG46</f>
        <v>0</v>
      </c>
      <c r="BH81" s="235">
        <f>$B$81*($C$69+$C$72)*BH46</f>
        <v>0</v>
      </c>
      <c r="BI81" s="235">
        <f>$B$81*($C$69+$C$72)*BI46</f>
        <v>0</v>
      </c>
      <c r="BJ81" s="235">
        <f>$B$81*($C$69+$C$72)*BJ46</f>
        <v>0</v>
      </c>
      <c r="BK81" s="235">
        <f>$B$81*($C$69+$C$72)*BK46</f>
        <v>0</v>
      </c>
      <c r="BL81" s="235">
        <f>$B$81*($C$69+$C$72)*BL46</f>
        <v>0</v>
      </c>
      <c r="BM81" s="235">
        <f>$B$81*($C$69+$C$72)*BM46</f>
        <v>0</v>
      </c>
      <c r="BN81" s="235">
        <f>$B$81*($C$69+$C$72)*BN46</f>
        <v>0</v>
      </c>
      <c r="BO81" s="235">
        <f>$B$81*($C$69+$C$72)*BO46</f>
        <v>0</v>
      </c>
      <c r="BP81" s="235">
        <f>$B$81*($C$69+$C$72)*BP46</f>
        <v>0</v>
      </c>
      <c r="BQ81" s="235">
        <f>$B$81*($C$69+$C$72)*BQ46</f>
        <v>0</v>
      </c>
    </row>
    <row r="82" spans="1:69" s="112" customFormat="1" ht="14" hidden="1" outlineLevel="1">
      <c r="A82" s="84" t="str">
        <f>'Resid - Datos'!I22</f>
        <v>Administración</v>
      </c>
      <c r="B82" s="644">
        <f>+'Resid - Datos'!M22*'Resid - Datos'!O7</f>
        <v>7000</v>
      </c>
      <c r="C82" s="647">
        <f t="shared" si="90"/>
        <v>-399000</v>
      </c>
      <c r="E82" s="112">
        <f>-$B$82</f>
        <v>-7000</v>
      </c>
      <c r="F82" s="112">
        <f t="shared" ref="F82:BI82" si="91">-$B$82</f>
        <v>-7000</v>
      </c>
      <c r="G82" s="112">
        <f t="shared" si="91"/>
        <v>-7000</v>
      </c>
      <c r="H82" s="112">
        <f t="shared" si="91"/>
        <v>-7000</v>
      </c>
      <c r="I82" s="112">
        <f t="shared" si="91"/>
        <v>-7000</v>
      </c>
      <c r="J82" s="112">
        <f t="shared" si="91"/>
        <v>-7000</v>
      </c>
      <c r="K82" s="112">
        <f t="shared" si="91"/>
        <v>-7000</v>
      </c>
      <c r="L82" s="112">
        <f t="shared" si="91"/>
        <v>-7000</v>
      </c>
      <c r="M82" s="112">
        <f t="shared" si="91"/>
        <v>-7000</v>
      </c>
      <c r="N82" s="112">
        <f t="shared" si="91"/>
        <v>-7000</v>
      </c>
      <c r="O82" s="112">
        <f t="shared" si="91"/>
        <v>-7000</v>
      </c>
      <c r="P82" s="112">
        <f t="shared" si="91"/>
        <v>-7000</v>
      </c>
      <c r="Q82" s="112">
        <f t="shared" si="91"/>
        <v>-7000</v>
      </c>
      <c r="R82" s="112">
        <f t="shared" si="91"/>
        <v>-7000</v>
      </c>
      <c r="S82" s="112">
        <f t="shared" si="91"/>
        <v>-7000</v>
      </c>
      <c r="T82" s="112">
        <f t="shared" si="91"/>
        <v>-7000</v>
      </c>
      <c r="U82" s="112">
        <f t="shared" si="91"/>
        <v>-7000</v>
      </c>
      <c r="V82" s="112">
        <f t="shared" si="91"/>
        <v>-7000</v>
      </c>
      <c r="W82" s="112">
        <f t="shared" si="91"/>
        <v>-7000</v>
      </c>
      <c r="X82" s="112">
        <f t="shared" si="91"/>
        <v>-7000</v>
      </c>
      <c r="Y82" s="112">
        <f t="shared" si="91"/>
        <v>-7000</v>
      </c>
      <c r="Z82" s="112">
        <f t="shared" si="91"/>
        <v>-7000</v>
      </c>
      <c r="AA82" s="112">
        <f t="shared" si="91"/>
        <v>-7000</v>
      </c>
      <c r="AB82" s="112">
        <f t="shared" si="91"/>
        <v>-7000</v>
      </c>
      <c r="AC82" s="112">
        <f t="shared" si="91"/>
        <v>-7000</v>
      </c>
      <c r="AD82" s="112">
        <f t="shared" si="91"/>
        <v>-7000</v>
      </c>
      <c r="AE82" s="112">
        <f t="shared" si="91"/>
        <v>-7000</v>
      </c>
      <c r="AF82" s="112">
        <f t="shared" si="91"/>
        <v>-7000</v>
      </c>
      <c r="AG82" s="112">
        <f t="shared" si="91"/>
        <v>-7000</v>
      </c>
      <c r="AH82" s="112">
        <f t="shared" si="91"/>
        <v>-7000</v>
      </c>
      <c r="AI82" s="112">
        <f t="shared" si="91"/>
        <v>-7000</v>
      </c>
      <c r="AJ82" s="112">
        <f t="shared" si="91"/>
        <v>-7000</v>
      </c>
      <c r="AK82" s="112">
        <f t="shared" si="91"/>
        <v>-7000</v>
      </c>
      <c r="AL82" s="112">
        <f t="shared" si="91"/>
        <v>-7000</v>
      </c>
      <c r="AM82" s="112">
        <f t="shared" si="91"/>
        <v>-7000</v>
      </c>
      <c r="AN82" s="112">
        <f t="shared" si="91"/>
        <v>-7000</v>
      </c>
      <c r="AO82" s="112">
        <f t="shared" si="91"/>
        <v>-7000</v>
      </c>
      <c r="AP82" s="112">
        <f t="shared" si="91"/>
        <v>-7000</v>
      </c>
      <c r="AQ82" s="112">
        <f t="shared" si="91"/>
        <v>-7000</v>
      </c>
      <c r="AR82" s="112">
        <f t="shared" si="91"/>
        <v>-7000</v>
      </c>
      <c r="AS82" s="112">
        <f t="shared" si="91"/>
        <v>-7000</v>
      </c>
      <c r="AT82" s="112">
        <f t="shared" si="91"/>
        <v>-7000</v>
      </c>
      <c r="AU82" s="112">
        <f t="shared" si="91"/>
        <v>-7000</v>
      </c>
      <c r="AV82" s="112">
        <f t="shared" si="91"/>
        <v>-7000</v>
      </c>
      <c r="AW82" s="112">
        <f t="shared" si="91"/>
        <v>-7000</v>
      </c>
      <c r="AX82" s="112">
        <f t="shared" si="91"/>
        <v>-7000</v>
      </c>
      <c r="AY82" s="112">
        <f t="shared" si="91"/>
        <v>-7000</v>
      </c>
      <c r="AZ82" s="112">
        <f t="shared" si="91"/>
        <v>-7000</v>
      </c>
      <c r="BA82" s="112">
        <f t="shared" si="91"/>
        <v>-7000</v>
      </c>
      <c r="BB82" s="112">
        <f t="shared" si="91"/>
        <v>-7000</v>
      </c>
      <c r="BC82" s="112">
        <f t="shared" si="91"/>
        <v>-7000</v>
      </c>
      <c r="BD82" s="112">
        <f t="shared" si="91"/>
        <v>-7000</v>
      </c>
      <c r="BE82" s="112">
        <f t="shared" si="91"/>
        <v>-7000</v>
      </c>
      <c r="BF82" s="112">
        <f t="shared" si="91"/>
        <v>-7000</v>
      </c>
      <c r="BG82" s="112">
        <f t="shared" si="91"/>
        <v>-7000</v>
      </c>
      <c r="BH82" s="112">
        <f t="shared" si="91"/>
        <v>-7000</v>
      </c>
      <c r="BI82" s="112">
        <f t="shared" si="91"/>
        <v>-7000</v>
      </c>
      <c r="BM82" s="112">
        <f>-$B$82*BM217</f>
        <v>0</v>
      </c>
      <c r="BN82" s="112">
        <f>-$B$82*BN217</f>
        <v>0</v>
      </c>
      <c r="BO82" s="112">
        <f>-$B$82*BO217</f>
        <v>0</v>
      </c>
      <c r="BP82" s="112">
        <f>-$B$82*BP217</f>
        <v>0</v>
      </c>
      <c r="BQ82" s="112">
        <f>-$B$82*BQ217</f>
        <v>0</v>
      </c>
    </row>
    <row r="83" spans="1:69" s="112" customFormat="1" ht="14" hidden="1" outlineLevel="1">
      <c r="A83" s="84" t="str">
        <f>'Resid - Datos'!I23</f>
        <v>Estructura Legal / Escribanía</v>
      </c>
      <c r="B83" s="615">
        <f>'Resid - Datos'!M23</f>
        <v>7.4999999999999997E-3</v>
      </c>
      <c r="C83" s="647">
        <f t="shared" si="90"/>
        <v>-252356.49219375005</v>
      </c>
      <c r="H83" s="112">
        <f>-$B$83*$C$114*(1+'Resid - Datos'!$O$13)/53</f>
        <v>-4761.4432489386754</v>
      </c>
      <c r="I83" s="112">
        <f>-$B$83*$C$114*(1+'Resid - Datos'!$O$13)/53</f>
        <v>-4761.4432489386754</v>
      </c>
      <c r="J83" s="112">
        <f>-$B$83*$C$114*(1+'Resid - Datos'!$O$13)/53</f>
        <v>-4761.4432489386754</v>
      </c>
      <c r="K83" s="112">
        <f>-$B$83*$C$114*(1+'Resid - Datos'!$O$13)/53</f>
        <v>-4761.4432489386754</v>
      </c>
      <c r="L83" s="112">
        <f>-$B$83*$C$114*(1+'Resid - Datos'!$O$13)/53</f>
        <v>-4761.4432489386754</v>
      </c>
      <c r="M83" s="112">
        <f>-$B$83*$C$114*(1+'Resid - Datos'!$O$13)/53</f>
        <v>-4761.4432489386754</v>
      </c>
      <c r="N83" s="112">
        <f>-$B$83*$C$114*(1+'Resid - Datos'!$O$13)/53</f>
        <v>-4761.4432489386754</v>
      </c>
      <c r="O83" s="112">
        <f>-$B$83*$C$114*(1+'Resid - Datos'!$O$13)/53</f>
        <v>-4761.4432489386754</v>
      </c>
      <c r="P83" s="112">
        <f>-$B$83*$C$114*(1+'Resid - Datos'!$O$13)/53</f>
        <v>-4761.4432489386754</v>
      </c>
      <c r="Q83" s="112">
        <f>-$B$83*$C$114*(1+'Resid - Datos'!$O$13)/53</f>
        <v>-4761.4432489386754</v>
      </c>
      <c r="R83" s="112">
        <f>-$B$83*$C$114*(1+'Resid - Datos'!$O$13)/53</f>
        <v>-4761.4432489386754</v>
      </c>
      <c r="S83" s="112">
        <f>-$B$83*$C$114*(1+'Resid - Datos'!$O$13)/53</f>
        <v>-4761.4432489386754</v>
      </c>
      <c r="T83" s="112">
        <f>-$B$83*$C$114*(1+'Resid - Datos'!$O$13)/53</f>
        <v>-4761.4432489386754</v>
      </c>
      <c r="U83" s="112">
        <f>-$B$83*$C$114*(1+'Resid - Datos'!$O$13)/53</f>
        <v>-4761.4432489386754</v>
      </c>
      <c r="V83" s="112">
        <f>-$B$83*$C$114*(1+'Resid - Datos'!$O$13)/53</f>
        <v>-4761.4432489386754</v>
      </c>
      <c r="W83" s="112">
        <f>-$B$83*$C$114*(1+'Resid - Datos'!$O$13)/53</f>
        <v>-4761.4432489386754</v>
      </c>
      <c r="X83" s="112">
        <f>-$B$83*$C$114*(1+'Resid - Datos'!$O$13)/53</f>
        <v>-4761.4432489386754</v>
      </c>
      <c r="Y83" s="112">
        <f>-$B$83*$C$114*(1+'Resid - Datos'!$O$13)/53</f>
        <v>-4761.4432489386754</v>
      </c>
      <c r="Z83" s="112">
        <f>-$B$83*$C$114*(1+'Resid - Datos'!$O$13)/53</f>
        <v>-4761.4432489386754</v>
      </c>
      <c r="AA83" s="112">
        <f>-$B$83*$C$114*(1+'Resid - Datos'!$O$13)/53</f>
        <v>-4761.4432489386754</v>
      </c>
      <c r="AB83" s="112">
        <f>-$B$83*$C$114*(1+'Resid - Datos'!$O$13)/53</f>
        <v>-4761.4432489386754</v>
      </c>
      <c r="AC83" s="112">
        <f>-$B$83*$C$114*(1+'Resid - Datos'!$O$13)/53</f>
        <v>-4761.4432489386754</v>
      </c>
      <c r="AD83" s="112">
        <f>-$B$83*$C$114*(1+'Resid - Datos'!$O$13)/53</f>
        <v>-4761.4432489386754</v>
      </c>
      <c r="AE83" s="112">
        <f>-$B$83*$C$114*(1+'Resid - Datos'!$O$13)/53</f>
        <v>-4761.4432489386754</v>
      </c>
      <c r="AF83" s="112">
        <f>-$B$83*$C$114*(1+'Resid - Datos'!$O$13)/53</f>
        <v>-4761.4432489386754</v>
      </c>
      <c r="AG83" s="112">
        <f>-$B$83*$C$114*(1+'Resid - Datos'!$O$13)/53</f>
        <v>-4761.4432489386754</v>
      </c>
      <c r="AH83" s="112">
        <f>-$B$83*$C$114*(1+'Resid - Datos'!$O$13)/53</f>
        <v>-4761.4432489386754</v>
      </c>
      <c r="AI83" s="112">
        <f>-$B$83*$C$114*(1+'Resid - Datos'!$O$13)/53</f>
        <v>-4761.4432489386754</v>
      </c>
      <c r="AJ83" s="112">
        <f>-$B$83*$C$114*(1+'Resid - Datos'!$O$13)/53</f>
        <v>-4761.4432489386754</v>
      </c>
      <c r="AK83" s="112">
        <f>-$B$83*$C$114*(1+'Resid - Datos'!$O$13)/53</f>
        <v>-4761.4432489386754</v>
      </c>
      <c r="AL83" s="112">
        <f>-$B$83*$C$114*(1+'Resid - Datos'!$O$13)/53</f>
        <v>-4761.4432489386754</v>
      </c>
      <c r="AM83" s="112">
        <f>-$B$83*$C$114*(1+'Resid - Datos'!$O$13)/53</f>
        <v>-4761.4432489386754</v>
      </c>
      <c r="AN83" s="112">
        <f>-$B$83*$C$114*(1+'Resid - Datos'!$O$13)/53</f>
        <v>-4761.4432489386754</v>
      </c>
      <c r="AO83" s="112">
        <f>-$B$83*$C$114*(1+'Resid - Datos'!$O$13)/53</f>
        <v>-4761.4432489386754</v>
      </c>
      <c r="AP83" s="112">
        <f>-$B$83*$C$114*(1+'Resid - Datos'!$O$13)/53</f>
        <v>-4761.4432489386754</v>
      </c>
      <c r="AQ83" s="112">
        <f>-$B$83*$C$114*(1+'Resid - Datos'!$O$13)/53</f>
        <v>-4761.4432489386754</v>
      </c>
      <c r="AR83" s="112">
        <f>-$B$83*$C$114*(1+'Resid - Datos'!$O$13)/53</f>
        <v>-4761.4432489386754</v>
      </c>
      <c r="AS83" s="112">
        <f>-$B$83*$C$114*(1+'Resid - Datos'!$O$13)/53</f>
        <v>-4761.4432489386754</v>
      </c>
      <c r="AT83" s="112">
        <f>-$B$83*$C$114*(1+'Resid - Datos'!$O$13)/53</f>
        <v>-4761.4432489386754</v>
      </c>
      <c r="AU83" s="112">
        <f>-$B$83*$C$114*(1+'Resid - Datos'!$O$13)/53</f>
        <v>-4761.4432489386754</v>
      </c>
      <c r="AV83" s="112">
        <f>-$B$83*$C$114*(1+'Resid - Datos'!$O$13)/53</f>
        <v>-4761.4432489386754</v>
      </c>
      <c r="AW83" s="112">
        <f>-$B$83*$C$114*(1+'Resid - Datos'!$O$13)/53</f>
        <v>-4761.4432489386754</v>
      </c>
      <c r="AX83" s="112">
        <f>-$B$83*$C$114*(1+'Resid - Datos'!$O$13)/53</f>
        <v>-4761.4432489386754</v>
      </c>
      <c r="AY83" s="112">
        <f>-$B$83*$C$114*(1+'Resid - Datos'!$O$13)/53</f>
        <v>-4761.4432489386754</v>
      </c>
      <c r="AZ83" s="112">
        <f>-$B$83*$C$114*(1+'Resid - Datos'!$O$13)/53</f>
        <v>-4761.4432489386754</v>
      </c>
      <c r="BA83" s="112">
        <f>-$B$83*$C$114*(1+'Resid - Datos'!$O$13)/53</f>
        <v>-4761.4432489386754</v>
      </c>
      <c r="BB83" s="112">
        <f>-$B$83*$C$114*(1+'Resid - Datos'!$O$13)/53</f>
        <v>-4761.4432489386754</v>
      </c>
      <c r="BC83" s="112">
        <f>-$B$83*$C$114*(1+'Resid - Datos'!$O$13)/53</f>
        <v>-4761.4432489386754</v>
      </c>
      <c r="BD83" s="112">
        <f>-$B$83*$C$114*(1+'Resid - Datos'!$O$13)/53</f>
        <v>-4761.4432489386754</v>
      </c>
      <c r="BE83" s="112">
        <f>-$B$83*$C$114*(1+'Resid - Datos'!$O$13)/53</f>
        <v>-4761.4432489386754</v>
      </c>
      <c r="BF83" s="112">
        <f>-$B$83*$C$114*(1+'Resid - Datos'!$O$13)/53</f>
        <v>-4761.4432489386754</v>
      </c>
      <c r="BG83" s="112">
        <f>-$B$83*$C$114*(1+'Resid - Datos'!$O$13)/53</f>
        <v>-4761.4432489386754</v>
      </c>
      <c r="BH83" s="112">
        <f>-$B$83*$C$114*(1+'Resid - Datos'!$O$13)/53</f>
        <v>-4761.4432489386754</v>
      </c>
    </row>
    <row r="84" spans="1:69" s="112" customFormat="1" ht="14" hidden="1" outlineLevel="1">
      <c r="A84" s="112" t="str">
        <f>+'Resid - Datos'!I8</f>
        <v>Imp. Sellos</v>
      </c>
      <c r="B84" s="615">
        <f>+'Resid - Datos'!O8</f>
        <v>1.7999999999999999E-2</v>
      </c>
      <c r="C84" s="633">
        <f t="shared" si="90"/>
        <v>-605655.58126499993</v>
      </c>
      <c r="F84" s="112">
        <f>-$B$84*(F134/$B$134+F139/$B$139+F144/$B$144+F148/$B$148+F153/$B$153+F158/$B$158+F163/$B$163+F167/$B$167+F172/$B$172+F177/$B$177+F182/$B$182+F186/$B$186+F191/$B$191+F196/$B$196+F201/$B$201+F205/$B$205)*(1+'Resid - Datos'!$O$13)*(1+($C$112/$C$105))</f>
        <v>0</v>
      </c>
      <c r="G84" s="112">
        <f>-$B$84*(G134/$B$134+G139/$B$139+G144/$B$144+G148/$B$148+G153/$B$153+G158/$B$158+G163/$B$163+G167/$B$167+G172/$B$172+G177/$B$177+G182/$B$182+G186/$B$186+G191/$B$191+G196/$B$196+G201/$B$201+G205/$B$205)*(1+'Resid - Datos'!$O$13)*(1+($C$112/$C$105))</f>
        <v>0</v>
      </c>
      <c r="H84" s="112">
        <f>-$B$84*(H134/$B$134+H139/$B$139+H144/$B$144+H148/$B$148+H153/$B$153+H158/$B$158+H163/$B$163+H167/$B$167+H172/$B$172+H177/$B$177+H182/$B$182+H186/$B$186+H191/$B$191+H196/$B$196+H201/$B$201+H205/$B$205)*(1+'Resid - Datos'!$O$13)*(1+($C$112/$C$105))</f>
        <v>0</v>
      </c>
      <c r="I84" s="112">
        <f>-$B$84*(I134/$B$134+I139/$B$139+I144/$B$144+I148/$B$148+I153/$B$153+I158/$B$158+I163/$B$163+I167/$B$167+I172/$B$172+I177/$B$177+I182/$B$182+I186/$B$186+I191/$B$191+I196/$B$196+I201/$B$201+I205/$B$205)*(1+'Resid - Datos'!$O$13)*(1+($C$112/$C$105))</f>
        <v>0</v>
      </c>
      <c r="J84" s="112">
        <f>-$B$84*(J134/$B$134+J139/$B$139+J144/$B$144+J148/$B$148+J153/$B$153+J158/$B$158+J163/$B$163+J167/$B$167+J172/$B$172+J177/$B$177+J182/$B$182+J186/$B$186+J191/$B$191+J196/$B$196+J201/$B$201+J205/$B$205)*(1+'Resid - Datos'!$O$13)*(1+($C$112/$C$105))</f>
        <v>0</v>
      </c>
      <c r="K84" s="112">
        <f>-$B$84*(K134/$B$134+K139/$B$139+K144/$B$144+K148/$B$148+K153/$B$153+K158/$B$158+K163/$B$163+K167/$B$167+K172/$B$172+K177/$B$177+K182/$B$182+K186/$B$186+K191/$B$191+K196/$B$196+K201/$B$201+K205/$B$205)*(1+'Resid - Datos'!$O$13)*(1+($C$112/$C$105))</f>
        <v>0</v>
      </c>
      <c r="L84" s="112">
        <f>-$B$84*(L134/$B$134+L139/$B$139+L144/$B$144+L148/$B$148+L153/$B$153+L158/$B$158+L163/$B$163+L167/$B$167+L172/$B$172+L177/$B$177+L182/$B$182+L186/$B$186+L191/$B$191+L196/$B$196+L201/$B$201+L205/$B$205)*(1+'Resid - Datos'!$O$13)*(1+($C$112/$C$105))</f>
        <v>0</v>
      </c>
      <c r="M84" s="112">
        <f>-$B$84*(M134/$B$134+M139/$B$139+M144/$B$144+M148/$B$148+M153/$B$153+M158/$B$158+M163/$B$163+M167/$B$167+M172/$B$172+M177/$B$177+M182/$B$182+M186/$B$186+M191/$B$191+M196/$B$196+M201/$B$201+M205/$B$205)*(1+'Resid - Datos'!$O$13)*(1+($C$112/$C$105))</f>
        <v>0</v>
      </c>
      <c r="N84" s="112">
        <f>-$B$84*(N134/$B$134+N139/$B$139+N144/$B$144+N148/$B$148+N153/$B$153+N158/$B$158+N163/$B$163+N167/$B$167+N172/$B$172+N177/$B$177+N182/$B$182+N186/$B$186+N191/$B$191+N196/$B$196+N201/$B$201+N205/$B$205)*(1+'Resid - Datos'!$O$13)*(1+($C$112/$C$105))</f>
        <v>0</v>
      </c>
      <c r="O84" s="112">
        <f>-$B$84*(O134/$B$134+O139/$B$139+O144/$B$144+O148/$B$148+O153/$B$153+O158/$B$158+O163/$B$163+O167/$B$167+O172/$B$172+O177/$B$177+O182/$B$182+O186/$B$186+O191/$B$191+O196/$B$196+O201/$B$201+O205/$B$205)*(1+'Resid - Datos'!$O$13)*(1+($C$112/$C$105))</f>
        <v>0</v>
      </c>
      <c r="P84" s="112">
        <f>-$B$84*(P134/$B$134+P139/$B$139+P144/$B$144+P148/$B$148+P153/$B$153+P158/$B$158+P163/$B$163+P167/$B$167+P172/$B$172+P177/$B$177+P182/$B$182+P186/$B$186+P191/$B$191+P196/$B$196+P201/$B$201+P205/$B$205)*(1+'Resid - Datos'!$O$13)*(1+($C$112/$C$105))</f>
        <v>0</v>
      </c>
      <c r="Q84" s="112">
        <f>-$B$84*(Q134/$B$134+Q139/$B$139+Q144/$B$144+Q148/$B$148+Q153/$B$153+Q158/$B$158+Q163/$B$163+Q167/$B$167+Q172/$B$172+Q177/$B$177+Q182/$B$182+Q186/$B$186+Q191/$B$191+Q196/$B$196+Q201/$B$201+Q205/$B$205)*(1+'Resid - Datos'!$O$13)*(1+($C$112/$C$105))</f>
        <v>0</v>
      </c>
      <c r="R84" s="112">
        <f>-$B$84*(R134/$B$134+R139/$B$139+R144/$B$144+R148/$B$148+R153/$B$153+R158/$B$158+R163/$B$163+R167/$B$167+R172/$B$172+R177/$B$177+R182/$B$182+R186/$B$186+R191/$B$191+R196/$B$196+R201/$B$201+R205/$B$205)*(1+'Resid - Datos'!$O$13)*(1+($C$112/$C$105))</f>
        <v>0</v>
      </c>
      <c r="S84" s="112">
        <f>-$B$84*(S134/$B$134+S139/$B$139+S144/$B$144+S148/$B$148+S153/$B$153+S158/$B$158+S163/$B$163+S167/$B$167+S172/$B$172+S177/$B$177+S182/$B$182+S186/$B$186+S191/$B$191+S196/$B$196+S201/$B$201+S205/$B$205)*(1+'Resid - Datos'!$O$13)*(1+($C$112/$C$105))</f>
        <v>0</v>
      </c>
      <c r="T84" s="112">
        <f>-$B$84*(T134/$B$134+T139/$B$139+T144/$B$144+T148/$B$148+T153/$B$153+T158/$B$158+T163/$B$163+T167/$B$167+T172/$B$172+T177/$B$177+T182/$B$182+T186/$B$186+T191/$B$191+T196/$B$196+T201/$B$201+T205/$B$205)*(1+'Resid - Datos'!$O$13)*(1+($C$112/$C$105))</f>
        <v>0</v>
      </c>
      <c r="U84" s="112">
        <f>-$B$84*(U134/$B$134+U139/$B$139+U144/$B$144+U148/$B$148+U153/$B$153+U158/$B$158+U163/$B$163+U167/$B$167+U172/$B$172+U177/$B$177+U182/$B$182+U186/$B$186+U191/$B$191+U196/$B$196+U201/$B$201+U205/$B$205)*(1+'Resid - Datos'!$O$13)*(1+($C$112/$C$105))</f>
        <v>0</v>
      </c>
      <c r="V84" s="112">
        <f>-$B$84*(V134/$B$134+V139/$B$139+V144/$B$144+V148/$B$148+V153/$B$153+V158/$B$158+V163/$B$163+V167/$B$167+V172/$B$172+V177/$B$177+V182/$B$182+V186/$B$186+V191/$B$191+V196/$B$196+V201/$B$201+V205/$B$205)*(1+'Resid - Datos'!$O$13)*(1+($C$112/$C$105))</f>
        <v>0</v>
      </c>
      <c r="W84" s="112">
        <f>-$B$84*(W134/$B$134+W139/$B$139+W144/$B$144+W148/$B$148+W153/$B$153+W158/$B$158+W163/$B$163+W167/$B$167+W172/$B$172+W177/$B$177+W182/$B$182+W186/$B$186+W191/$B$191+W196/$B$196+W201/$B$201+W205/$B$205)*(1+'Resid - Datos'!$O$13)*(1+($C$112/$C$105))</f>
        <v>0</v>
      </c>
      <c r="X84" s="112">
        <f>-$B$84*(X134/$B$134+X139/$B$139+X144/$B$144+X148/$B$148+X153/$B$153+X158/$B$158+X163/$B$163+X167/$B$167+X172/$B$172+X177/$B$177+X182/$B$182+X186/$B$186+X191/$B$191+X196/$B$196+X201/$B$201+X205/$B$205)*(1+'Resid - Datos'!$O$13)*(1+($C$112/$C$105))</f>
        <v>0</v>
      </c>
      <c r="Y84" s="112">
        <f>-$B$84*(Y134/$B$134+Y139/$B$139+Y144/$B$144+Y148/$B$148+Y153/$B$153+Y158/$B$158+Y163/$B$163+Y167/$B$167+Y172/$B$172+Y177/$B$177+Y182/$B$182+Y186/$B$186+Y191/$B$191+Y196/$B$196+Y201/$B$201+Y205/$B$205)*(1+'Resid - Datos'!$O$13)*(1+($C$112/$C$105))</f>
        <v>0</v>
      </c>
      <c r="Z84" s="112">
        <f>-$B$84*(Z134/$B$134+Z139/$B$139+Z144/$B$144+Z148/$B$148+Z153/$B$153+Z158/$B$158+Z163/$B$163+Z167/$B$167+Z172/$B$172+Z177/$B$177+Z182/$B$182+Z186/$B$186+Z191/$B$191+Z196/$B$196+Z201/$B$201+Z205/$B$205)*(1+'Resid - Datos'!$O$13)*(1+($C$112/$C$105))</f>
        <v>0</v>
      </c>
      <c r="AA84" s="112">
        <f>-$B$84*(AA134/$B$134+AA139/$B$139+AA144/$B$144+AA148/$B$148+AA153/$B$153+AA158/$B$158+AA163/$B$163+AA167/$B$167+AA172/$B$172+AA177/$B$177+AA182/$B$182+AA186/$B$186+AA191/$B$191+AA196/$B$196+AA201/$B$201+AA205/$B$205)*(1+'Resid - Datos'!$O$13)*(1+($C$112/$C$105))</f>
        <v>0</v>
      </c>
      <c r="AB84" s="112">
        <f>-$B$84*(AB134/$B$134+AB139/$B$139+AB144/$B$144+AB148/$B$148+AB153/$B$153+AB158/$B$158+AB163/$B$163+AB167/$B$167+AB172/$B$172+AB177/$B$177+AB182/$B$182+AB186/$B$186+AB191/$B$191+AB196/$B$196+AB201/$B$201+AB205/$B$205)*(1+'Resid - Datos'!$O$13)*(1+($C$112/$C$105))</f>
        <v>0</v>
      </c>
      <c r="AC84" s="112">
        <f>-$B$84*(AC134/$B$134+AC139/$B$139+AC144/$B$144+AC148/$B$148+AC153/$B$153+AC158/$B$158+AC163/$B$163+AC167/$B$167+AC172/$B$172+AC177/$B$177+AC182/$B$182+AC186/$B$186+AC191/$B$191+AC196/$B$196+AC201/$B$201+AC205/$B$205)*(1+'Resid - Datos'!$O$13)*(1+($C$112/$C$105))</f>
        <v>0</v>
      </c>
      <c r="AD84" s="112">
        <f>-$B$84*(AD134/$B$134+AD139/$B$139+AD144/$B$144+AD148/$B$148+AD153/$B$153+AD158/$B$158+AD163/$B$163+AD167/$B$167+AD172/$B$172+AD177/$B$177+AD182/$B$182+AD186/$B$186+AD191/$B$191+AD196/$B$196+AD201/$B$201+AD205/$B$205)*(1+'Resid - Datos'!$O$13)*(1+($C$112/$C$105))</f>
        <v>0</v>
      </c>
      <c r="AE84" s="112">
        <f>-$B$84*(AE134/$B$134+AE139/$B$139+AE144/$B$144+AE148/$B$148+AE153/$B$153+AE158/$B$158+AE163/$B$163+AE167/$B$167+AE172/$B$172+AE177/$B$177+AE182/$B$182+AE186/$B$186+AE191/$B$191+AE196/$B$196+AE201/$B$201+AE205/$B$205)*(1+'Resid - Datos'!$O$13)*(1+($C$112/$C$105))</f>
        <v>0</v>
      </c>
      <c r="AF84" s="112">
        <f>-$B$84*(AF134/$B$134+AF139/$B$139+AF144/$B$144+AF148/$B$148+AF153/$B$153+AF158/$B$158+AF163/$B$163+AF167/$B$167+AF172/$B$172+AF177/$B$177+AF182/$B$182+AF186/$B$186+AF191/$B$191+AF196/$B$196+AF201/$B$201+AF205/$B$205)*(1+'Resid - Datos'!$O$13)*(1+($C$112/$C$105))</f>
        <v>0</v>
      </c>
      <c r="AG84" s="112">
        <f>-$B$84*(AG134/$B$134+AG139/$B$139+AG144/$B$144+AG148/$B$148+AG153/$B$153+AG158/$B$158+AG163/$B$163+AG167/$B$167+AG172/$B$172+AG177/$B$177+AG182/$B$182+AG186/$B$186+AG191/$B$191+AG196/$B$196+AG201/$B$201+AG205/$B$205)*(1+'Resid - Datos'!$O$13)*(1+($C$112/$C$105))</f>
        <v>0</v>
      </c>
      <c r="AH84" s="112">
        <f>-$B$84*(AH134/$B$134+AH139/$B$139+AH144/$B$144+AH148/$B$148+AH153/$B$153+AH158/$B$158+AH163/$B$163+AH167/$B$167+AH172/$B$172+AH177/$B$177+AH182/$B$182+AH186/$B$186+AH191/$B$191+AH196/$B$196+AH201/$B$201+AH205/$B$205)*(1+'Resid - Datos'!$O$13)*(1+($C$112/$C$105))</f>
        <v>0</v>
      </c>
      <c r="AI84" s="112">
        <f>-$B$84*(AI134/$B$134+AI139/$B$139+AI144/$B$144+AI148/$B$148+AI153/$B$153+AI158/$B$158+AI163/$B$163+AI167/$B$167+AI172/$B$172+AI177/$B$177+AI182/$B$182+AI186/$B$186+AI191/$B$191+AI196/$B$196+AI201/$B$201+AI205/$B$205)*(1+'Resid - Datos'!$O$13)*(1+($C$112/$C$105))</f>
        <v>0</v>
      </c>
      <c r="AJ84" s="112">
        <f>-$B$84*(AJ134/$B$134+AJ139/$B$139+AJ144/$B$144+AJ148/$B$148+AJ153/$B$153+AJ158/$B$158+AJ163/$B$163+AJ167/$B$167+AJ172/$B$172+AJ177/$B$177+AJ182/$B$182+AJ186/$B$186+AJ191/$B$191+AJ196/$B$196+AJ201/$B$201+AJ205/$B$205)*(1+'Resid - Datos'!$O$13)*(1+($C$112/$C$105))</f>
        <v>0</v>
      </c>
      <c r="AK84" s="112">
        <f>-$B$84*(AK134/$B$134+AK139/$B$139+AK144/$B$144+AK148/$B$148+AK153/$B$153+AK158/$B$158+AK163/$B$163+AK167/$B$167+AK172/$B$172+AK177/$B$177+AK182/$B$182+AK186/$B$186+AK191/$B$191+AK196/$B$196+AK201/$B$201+AK205/$B$205)*(1+'Resid - Datos'!$O$13)*(1+($C$112/$C$105))</f>
        <v>0</v>
      </c>
      <c r="AL84" s="112">
        <f>-$B$84*(AL134/$B$134+AL139/$B$139+AL144/$B$144+AL148/$B$148+AL153/$B$153+AL158/$B$158+AL163/$B$163+AL167/$B$167+AL172/$B$172+AL177/$B$177+AL182/$B$182+AL186/$B$186+AL191/$B$191+AL196/$B$196+AL201/$B$201+AL205/$B$205)*(1+'Resid - Datos'!$O$13)*(1+($C$112/$C$105))</f>
        <v>0</v>
      </c>
      <c r="AM84" s="112">
        <f>-$B$84*(AM134/$B$134+AM139/$B$139+AM144/$B$144+AM148/$B$148+AM153/$B$153+AM158/$B$158+AM163/$B$163+AM167/$B$167+AM172/$B$172+AM177/$B$177+AM182/$B$182+AM186/$B$186+AM191/$B$191+AM196/$B$196+AM201/$B$201+AM205/$B$205)*(1+'Resid - Datos'!$O$13)*(1+($C$112/$C$105))</f>
        <v>0</v>
      </c>
      <c r="AN84" s="112">
        <f>-$B$84*(AN134/$B$134+AN139/$B$139+AN144/$B$144+AN148/$B$148+AN153/$B$153+AN158/$B$158+AN163/$B$163+AN167/$B$167+AN172/$B$172+AN177/$B$177+AN182/$B$182+AN186/$B$186+AN191/$B$191+AN196/$B$196+AN201/$B$201+AN205/$B$205)*(1+'Resid - Datos'!$O$13)*(1+($C$112/$C$105))</f>
        <v>-49006.87565942746</v>
      </c>
      <c r="AO84" s="112">
        <f>-$B$84*(AO134/$B$134+AO139/$B$139+AO144/$B$144+AO148/$B$148+AO153/$B$153+AO158/$B$158+AO163/$B$163+AO167/$B$167+AO172/$B$172+AO177/$B$177+AO182/$B$182+AO186/$B$186+AO191/$B$191+AO196/$B$196+AO201/$B$201+AO205/$B$205)*(1+'Resid - Datos'!$O$13)*(1+($C$112/$C$105))</f>
        <v>-51640.305518301509</v>
      </c>
      <c r="AP84" s="112">
        <f>-$B$84*(AP134/$B$134+AP139/$B$139+AP144/$B$144+AP148/$B$148+AP153/$B$153+AP158/$B$158+AP163/$B$163+AP167/$B$167+AP172/$B$172+AP177/$B$177+AP182/$B$182+AP186/$B$186+AP191/$B$191+AP196/$B$196+AP201/$B$201+AP205/$B$205)*(1+'Resid - Datos'!$O$13)*(1+($C$112/$C$105))</f>
        <v>-51640.305518301509</v>
      </c>
      <c r="AQ84" s="112">
        <f>-$B$84*(AQ134/$B$134+AQ139/$B$139+AQ144/$B$144+AQ148/$B$148+AQ153/$B$153+AQ158/$B$158+AQ163/$B$163+AQ167/$B$167+AQ172/$B$172+AQ177/$B$177+AQ182/$B$182+AQ186/$B$186+AQ191/$B$191+AQ196/$B$196+AQ201/$B$201+AQ205/$B$205)*(1+'Resid - Datos'!$O$13)*(1+($C$112/$C$105))</f>
        <v>-2633.4298588740448</v>
      </c>
      <c r="AR84" s="112">
        <f>-$B$84*(AR134/$B$134+AR139/$B$139+AR144/$B$144+AR148/$B$148+AR153/$B$153+AR158/$B$158+AR163/$B$163+AR167/$B$167+AR172/$B$172+AR177/$B$177+AR182/$B$182+AR186/$B$186+AR191/$B$191+AR196/$B$196+AR201/$B$201+AR205/$B$205)*(1+'Resid - Datos'!$O$13)*(1+($C$112/$C$105))</f>
        <v>-2633.4298588740448</v>
      </c>
      <c r="AS84" s="112">
        <f>-$B$84*(AS134/$B$134+AS139/$B$139+AS144/$B$144+AS148/$B$148+AS153/$B$153+AS158/$B$158+AS163/$B$163+AS167/$B$167+AS172/$B$172+AS177/$B$177+AS182/$B$182+AS186/$B$186+AS191/$B$191+AS196/$B$196+AS201/$B$201+AS205/$B$205)*(1+'Resid - Datos'!$O$13)*(1+($C$112/$C$105))</f>
        <v>-2633.4298588740448</v>
      </c>
      <c r="AT84" s="112">
        <f>-$B$84*(AT134/$B$134+AT139/$B$139+AT144/$B$144+AT148/$B$148+AT153/$B$153+AT158/$B$158+AT163/$B$163+AT167/$B$167+AT172/$B$172+AT177/$B$177+AT182/$B$182+AT186/$B$186+AT191/$B$191+AT196/$B$196+AT201/$B$201+AT205/$B$205)*(1+'Resid - Datos'!$O$13)*(1+($C$112/$C$105))</f>
        <v>-58323.866128660287</v>
      </c>
      <c r="AU84" s="112">
        <f>-$B$84*(AU134/$B$134+AU139/$B$139+AU144/$B$144+AU148/$B$148+AU153/$B$153+AU158/$B$158+AU163/$B$163+AU167/$B$167+AU172/$B$172+AU177/$B$177+AU182/$B$182+AU186/$B$186+AU191/$B$191+AU196/$B$196+AU201/$B$201+AU205/$B$205)*(1+'Resid - Datos'!$O$13)*(1+($C$112/$C$105))</f>
        <v>-60163.626343431279</v>
      </c>
      <c r="AV84" s="112">
        <f>-$B$84*(AV134/$B$134+AV139/$B$139+AV144/$B$144+AV148/$B$148+AV153/$B$153+AV158/$B$158+AV163/$B$163+AV167/$B$167+AV172/$B$172+AV177/$B$177+AV182/$B$182+AV186/$B$186+AV191/$B$191+AV196/$B$196+AV201/$B$201+AV205/$B$205)*(1+'Resid - Datos'!$O$13)*(1+($C$112/$C$105))</f>
        <v>-60163.626343431279</v>
      </c>
      <c r="AW84" s="112">
        <f>-$B$84*(AW134/$B$134+AW139/$B$139+AW144/$B$144+AW148/$B$148+AW153/$B$153+AW158/$B$158+AW163/$B$163+AW167/$B$167+AW172/$B$172+AW177/$B$177+AW182/$B$182+AW186/$B$186+AW191/$B$191+AW196/$B$196+AW201/$B$201+AW205/$B$205)*(1+'Resid - Datos'!$O$13)*(1+($C$112/$C$105))</f>
        <v>-3595.3801206870221</v>
      </c>
      <c r="AX84" s="112">
        <f>-$B$84*(AX134/$B$134+AX139/$B$139+AX144/$B$144+AX148/$B$148+AX153/$B$153+AX158/$B$158+AX163/$B$163+AX167/$B$167+AX172/$B$172+AX177/$B$177+AX182/$B$182+AX186/$B$186+AX191/$B$191+AX196/$B$196+AX201/$B$201+AX205/$B$205)*(1+'Resid - Datos'!$O$13)*(1+($C$112/$C$105))</f>
        <v>0</v>
      </c>
      <c r="AY84" s="112">
        <f>-$B$84*(AY134/$B$134+AY139/$B$139+AY144/$B$144+AY148/$B$148+AY153/$B$153+AY158/$B$158+AY163/$B$163+AY167/$B$167+AY172/$B$172+AY177/$B$177+AY182/$B$182+AY186/$B$186+AY191/$B$191+AY196/$B$196+AY201/$B$201+AY205/$B$205)*(1+'Resid - Datos'!$O$13)*(1+($C$112/$C$105))</f>
        <v>0</v>
      </c>
      <c r="AZ84" s="112">
        <f>-$B$84*(AZ134/$B$134+AZ139/$B$139+AZ144/$B$144+AZ148/$B$148+AZ153/$B$153+AZ158/$B$158+AZ163/$B$163+AZ167/$B$167+AZ172/$B$172+AZ177/$B$177+AZ182/$B$182+AZ186/$B$186+AZ191/$B$191+AZ196/$B$196+AZ201/$B$201+AZ205/$B$205)*(1+'Resid - Datos'!$O$13)*(1+($C$112/$C$105))</f>
        <v>-55839.492522057248</v>
      </c>
      <c r="BA84" s="112">
        <f>-$B$84*(BA134/$B$134+BA139/$B$139+BA144/$B$144+BA148/$B$148+BA153/$B$153+BA158/$B$158+BA163/$B$163+BA167/$B$167+BA172/$B$172+BA177/$B$177+BA182/$B$182+BA186/$B$186+BA191/$B$191+BA196/$B$196+BA201/$B$201+BA205/$B$205)*(1+'Resid - Datos'!$O$13)*(1+($C$112/$C$105))</f>
        <v>-55839.492522057248</v>
      </c>
      <c r="BB84" s="112">
        <f>-$B$84*(BB134/$B$134+BB139/$B$139+BB144/$B$144+BB148/$B$148+BB153/$B$153+BB158/$B$158+BB163/$B$163+BB167/$B$167+BB172/$B$172+BB177/$B$177+BB182/$B$182+BB186/$B$186+BB191/$B$191+BB196/$B$196+BB201/$B$201+BB205/$B$205)*(1+'Resid - Datos'!$O$13)*(1+($C$112/$C$105))</f>
        <v>-55839.492522057248</v>
      </c>
      <c r="BC84" s="112">
        <f>-$B$84*(BC134/$B$134+BC139/$B$139+BC144/$B$144+BC148/$B$148+BC153/$B$153+BC158/$B$158+BC163/$B$163+BC167/$B$167+BC172/$B$172+BC177/$B$177+BC182/$B$182+BC186/$B$186+BC191/$B$191+BC196/$B$196+BC201/$B$201+BC205/$B$205)*(1+'Resid - Datos'!$O$13)*(1+($C$112/$C$105))</f>
        <v>0</v>
      </c>
      <c r="BD84" s="112">
        <f>-$B$84*(BD134/$B$134+BD139/$B$139+BD144/$B$144+BD148/$B$148+BD153/$B$153+BD158/$B$158+BD163/$B$163+BD167/$B$167+BD172/$B$172+BD177/$B$177+BD182/$B$182+BD186/$B$186+BD191/$B$191+BD196/$B$196+BD201/$B$201+BD205/$B$205)*(1+'Resid - Datos'!$O$13)*(1+($C$112/$C$105))</f>
        <v>0</v>
      </c>
      <c r="BE84" s="112">
        <f>-$B$84*(BE134/$B$134+BE139/$B$139+BE144/$B$144+BE148/$B$148+BE153/$B$153+BE158/$B$158+BE163/$B$163+BE167/$B$167+BE172/$B$172+BE177/$B$177+BE182/$B$182+BE186/$B$186+BE191/$B$191+BE196/$B$196+BE201/$B$201+BE205/$B$205)*(1+'Resid - Datos'!$O$13)*(1+($C$112/$C$105))</f>
        <v>0</v>
      </c>
      <c r="BF84" s="112">
        <f>-$B$84*(BF134/$B$134+BF139/$B$139+BF144/$B$144+BF148/$B$148+BF153/$B$153+BF158/$B$158+BF163/$B$163+BF167/$B$167+BF172/$B$172+BF177/$B$177+BF182/$B$182+BF186/$B$186+BF191/$B$191+BF196/$B$196+BF201/$B$201+BF205/$B$205)*(1+'Resid - Datos'!$O$13)*(1+($C$112/$C$105))</f>
        <v>-31900.942829988551</v>
      </c>
      <c r="BG84" s="112">
        <f>-$B$84*(BG134/$B$134+BG139/$B$139+BG144/$B$144+BG148/$B$148+BG153/$B$153+BG158/$B$158+BG163/$B$163+BG167/$B$167+BG172/$B$172+BG177/$B$177+BG182/$B$182+BG186/$B$186+BG191/$B$191+BG196/$B$196+BG201/$B$201+BG205/$B$205)*(1+'Resid - Datos'!$O$13)*(1+($C$112/$C$105))</f>
        <v>-31900.942829988551</v>
      </c>
      <c r="BH84" s="112">
        <f>-$B$84*(BH134/$B$134+BH139/$B$139+BH144/$B$144+BH148/$B$148+BH153/$B$153+BH158/$B$158+BH163/$B$163+BH167/$B$167+BH172/$B$172+BH177/$B$177+BH182/$B$182+BH186/$B$186+BH191/$B$191+BH196/$B$196+BH201/$B$201+BH205/$B$205)*(1+'Resid - Datos'!$O$13)*(1+($C$112/$C$105))</f>
        <v>-31900.942829988551</v>
      </c>
      <c r="BI84" s="112">
        <f>-$B$84*(BI134/$B$134+BI139/$B$139+BI144/$B$144+BI148/$B$148+BI153/$B$153+BI158/$B$158+BI163/$B$163+BI167/$B$167+BI172/$B$172+BI177/$B$177+BI182/$B$182+BI186/$B$186+BI191/$B$191+BI196/$B$196+BI201/$B$201+BI205/$B$205)*(1+'Resid - Datos'!$O$13)*(1+($C$112/$C$105))</f>
        <v>0</v>
      </c>
      <c r="BJ84" s="112">
        <f>-$B$84*(BJ134/$B$134+BJ139/$B$139+BJ144/$B$144+BJ148/$B$148+BJ153/$B$153+BJ158/$B$158+BJ163/$B$163+BJ167/$B$167+BJ172/$B$172+BJ177/$B$177+BJ182/$B$182+BJ186/$B$186+BJ191/$B$191+BJ196/$B$196+BJ201/$B$201+BJ205/$B$205)*(1+'Resid - Datos'!$O$13)*(1+($C$112/$C$105))</f>
        <v>0</v>
      </c>
      <c r="BK84" s="112">
        <f>-$B$84*(BK134/$B$134+BK139/$B$139+BK144/$B$144+BK148/$B$148+BK153/$B$153+BK158/$B$158+BK163/$B$163+BK167/$B$167+BK172/$B$172+BK177/$B$177+BK182/$B$182+BK186/$B$186+BK191/$B$191+BK196/$B$196+BK201/$B$201+BK205/$B$205)*(1+'Resid - Datos'!$O$13)*(1+($C$112/$C$105))</f>
        <v>0</v>
      </c>
      <c r="BL84" s="112">
        <f>-$B$84*(BL134/$B$134+BL139/$B$139+BL144/$B$144+BL148/$B$148+BL153/$B$153+BL158/$B$158+BL163/$B$163+BL167/$B$167+BL172/$B$172+BL177/$B$177+BL182/$B$182+BL186/$B$186+BL191/$B$191+BL196/$B$196+BL201/$B$201+BL205/$B$205)*(1+'Resid - Datos'!$O$13)*(1+($C$112/$C$105))</f>
        <v>0</v>
      </c>
      <c r="BM84" s="112">
        <f>-$B$84*(BM134/$B$134+BM139/$B$139+BM144/$B$144+BM148/$B$148+BM153/$B$153+BM158/$B$158+BM163/$B$163+BM167/$B$167+BM172/$B$172+BM177/$B$177+BM182/$B$182+BM186/$B$186+BM191/$B$191+BM196/$B$196+BM201/$B$201+BM205/$B$205)*(1+'Resid - Datos'!$O$13)*(1+($C$112/$C$105))</f>
        <v>0</v>
      </c>
      <c r="BN84" s="112">
        <f>-$B$84*(BN134/$B$134+BN139/$B$139+BN144/$B$144+BN148/$B$148+BN153/$B$153+BN158/$B$158+BN163/$B$163+BN167/$B$167+BN172/$B$172+BN177/$B$177+BN182/$B$182+BN186/$B$186+BN191/$B$191+BN196/$B$196+BN201/$B$201+BN205/$B$205)*(1+'Resid - Datos'!$O$13)*(1+($C$112/$C$105))</f>
        <v>0</v>
      </c>
      <c r="BO84" s="112">
        <f>-$B$84*(BO134/$B$134+BO139/$B$139+BO144/$B$144+BO148/$B$148+BO153/$B$153+BO158/$B$158+BO163/$B$163+BO167/$B$167+BO172/$B$172+BO177/$B$177+BO182/$B$182+BO186/$B$186+BO191/$B$191+BO196/$B$196+BO201/$B$201+BO205/$B$205)*(1+'Resid - Datos'!$O$13)*(1+($C$112/$C$105))</f>
        <v>0</v>
      </c>
      <c r="BP84" s="112">
        <f>-$B$84*(BP134/$B$134+BP139/$B$139+BP144/$B$144+BP148/$B$148+BP153/$B$153+BP158/$B$158+BP163/$B$163+BP167/$B$167+BP172/$B$172+BP177/$B$177+BP182/$B$182+BP186/$B$186+BP191/$B$191+BP196/$B$196+BP201/$B$201+BP205/$B$205)*(1+'Resid - Datos'!$O$13)*(1+($C$112/$C$105))</f>
        <v>0</v>
      </c>
      <c r="BQ84" s="112">
        <f>-$B$84*(BQ134/$B$134+BQ139/$B$139+BQ144/$B$144+BQ148/$B$148+BQ153/$B$153+BQ158/$B$158+BQ163/$B$163+BQ167/$B$167+BQ172/$B$172+BQ177/$B$177+BQ182/$B$182+BQ186/$B$186+BQ191/$B$191+BQ196/$B$196+BQ201/$B$201+BQ205/$B$205)*(1+'Resid - Datos'!$O$13)*(1+($C$112/$C$105))</f>
        <v>0</v>
      </c>
    </row>
    <row r="85" spans="1:69" s="112" customFormat="1" ht="14" hidden="1" outlineLevel="1">
      <c r="A85" s="112" t="str">
        <f>'Resid - Datos'!I24</f>
        <v>Marketing y Publicidad</v>
      </c>
      <c r="B85" s="615">
        <f>'Resid - Datos'!M24</f>
        <v>1.2E-2</v>
      </c>
      <c r="C85" s="644">
        <f>+B85*C114*(1+'Resid - Datos'!O13)</f>
        <v>403770.38750999974</v>
      </c>
    </row>
    <row r="86" spans="1:69" s="112" customFormat="1" ht="14" hidden="1" outlineLevel="1">
      <c r="A86" s="122" t="s">
        <v>140</v>
      </c>
      <c r="B86" s="659">
        <v>0.4</v>
      </c>
      <c r="C86" s="647">
        <f t="shared" ref="C86:C92" si="92">SUM(D86:BQ86)</f>
        <v>-161508.15500399991</v>
      </c>
      <c r="F86" s="112">
        <f t="shared" ref="F86:H86" si="93">-$C$85*$B$86*0.25</f>
        <v>-40377.038750999978</v>
      </c>
      <c r="G86" s="112">
        <f t="shared" si="93"/>
        <v>-40377.038750999978</v>
      </c>
      <c r="H86" s="112">
        <f t="shared" si="93"/>
        <v>-40377.038750999978</v>
      </c>
      <c r="I86" s="112">
        <f>-$C$85*$B$86*0.25</f>
        <v>-40377.038750999978</v>
      </c>
    </row>
    <row r="87" spans="1:69" s="112" customFormat="1" ht="14" hidden="1" outlineLevel="1">
      <c r="A87" s="122" t="s">
        <v>141</v>
      </c>
      <c r="B87" s="615">
        <f>1-B86</f>
        <v>0.6</v>
      </c>
      <c r="C87" s="647">
        <f t="shared" si="92"/>
        <v>-242262.23250599994</v>
      </c>
      <c r="J87" s="112">
        <f t="shared" ref="J87:AT87" si="94">-$C$85*$B$87/38</f>
        <v>-6375.3219080526269</v>
      </c>
      <c r="K87" s="112">
        <f t="shared" si="94"/>
        <v>-6375.3219080526269</v>
      </c>
      <c r="L87" s="112">
        <f t="shared" si="94"/>
        <v>-6375.3219080526269</v>
      </c>
      <c r="M87" s="112">
        <f t="shared" si="94"/>
        <v>-6375.3219080526269</v>
      </c>
      <c r="N87" s="112">
        <f t="shared" si="94"/>
        <v>-6375.3219080526269</v>
      </c>
      <c r="O87" s="112">
        <f t="shared" si="94"/>
        <v>-6375.3219080526269</v>
      </c>
      <c r="P87" s="112">
        <f t="shared" si="94"/>
        <v>-6375.3219080526269</v>
      </c>
      <c r="Q87" s="112">
        <f t="shared" si="94"/>
        <v>-6375.3219080526269</v>
      </c>
      <c r="R87" s="112">
        <f t="shared" si="94"/>
        <v>-6375.3219080526269</v>
      </c>
      <c r="S87" s="112">
        <f t="shared" si="94"/>
        <v>-6375.3219080526269</v>
      </c>
      <c r="T87" s="112">
        <f t="shared" si="94"/>
        <v>-6375.3219080526269</v>
      </c>
      <c r="U87" s="112">
        <f t="shared" si="94"/>
        <v>-6375.3219080526269</v>
      </c>
      <c r="V87" s="112">
        <f t="shared" si="94"/>
        <v>-6375.3219080526269</v>
      </c>
      <c r="W87" s="112">
        <f t="shared" si="94"/>
        <v>-6375.3219080526269</v>
      </c>
      <c r="X87" s="112">
        <f t="shared" si="94"/>
        <v>-6375.3219080526269</v>
      </c>
      <c r="Y87" s="112">
        <f t="shared" si="94"/>
        <v>-6375.3219080526269</v>
      </c>
      <c r="Z87" s="112">
        <f t="shared" si="94"/>
        <v>-6375.3219080526269</v>
      </c>
      <c r="AA87" s="112">
        <f t="shared" si="94"/>
        <v>-6375.3219080526269</v>
      </c>
      <c r="AB87" s="112">
        <f t="shared" si="94"/>
        <v>-6375.3219080526269</v>
      </c>
      <c r="AC87" s="112">
        <f t="shared" si="94"/>
        <v>-6375.3219080526269</v>
      </c>
      <c r="AD87" s="112">
        <f t="shared" si="94"/>
        <v>-6375.3219080526269</v>
      </c>
      <c r="AE87" s="112">
        <f t="shared" si="94"/>
        <v>-6375.3219080526269</v>
      </c>
      <c r="AF87" s="112">
        <f t="shared" si="94"/>
        <v>-6375.3219080526269</v>
      </c>
      <c r="AG87" s="112">
        <f t="shared" si="94"/>
        <v>-6375.3219080526269</v>
      </c>
      <c r="AH87" s="112">
        <f t="shared" si="94"/>
        <v>-6375.3219080526269</v>
      </c>
      <c r="AI87" s="112">
        <f t="shared" si="94"/>
        <v>-6375.3219080526269</v>
      </c>
      <c r="AJ87" s="112">
        <f t="shared" si="94"/>
        <v>-6375.3219080526269</v>
      </c>
      <c r="AK87" s="112">
        <f t="shared" si="94"/>
        <v>-6375.3219080526269</v>
      </c>
      <c r="AL87" s="112">
        <f t="shared" si="94"/>
        <v>-6375.3219080526269</v>
      </c>
      <c r="AM87" s="112">
        <f t="shared" si="94"/>
        <v>-6375.3219080526269</v>
      </c>
      <c r="AN87" s="112">
        <f t="shared" si="94"/>
        <v>-6375.3219080526269</v>
      </c>
      <c r="AO87" s="112">
        <f t="shared" si="94"/>
        <v>-6375.3219080526269</v>
      </c>
      <c r="AP87" s="112">
        <f t="shared" si="94"/>
        <v>-6375.3219080526269</v>
      </c>
      <c r="AQ87" s="112">
        <f t="shared" si="94"/>
        <v>-6375.3219080526269</v>
      </c>
      <c r="AR87" s="112">
        <f t="shared" si="94"/>
        <v>-6375.3219080526269</v>
      </c>
      <c r="AS87" s="112">
        <f t="shared" si="94"/>
        <v>-6375.3219080526269</v>
      </c>
      <c r="AT87" s="112">
        <f t="shared" si="94"/>
        <v>-6375.3219080526269</v>
      </c>
      <c r="AU87" s="112">
        <f>-$C$85*$B$87/38</f>
        <v>-6375.3219080526269</v>
      </c>
    </row>
    <row r="88" spans="1:69" s="112" customFormat="1" ht="14" hidden="1" outlineLevel="1">
      <c r="A88" s="112" t="str">
        <f>'Resid - Datos'!I25</f>
        <v>Comisiones Inmobiliarias</v>
      </c>
      <c r="B88" s="615">
        <f>'Resid - Datos'!M25</f>
        <v>1.2E-2</v>
      </c>
      <c r="C88" s="633">
        <f t="shared" si="92"/>
        <v>-403770.3875100002</v>
      </c>
      <c r="E88" s="112">
        <f>-$B88*(D114*(1+'Resid - Datos'!$O$13))</f>
        <v>0</v>
      </c>
      <c r="F88" s="112">
        <f>-$B88*(E114*(1+'Resid - Datos'!$O$13))</f>
        <v>0</v>
      </c>
      <c r="G88" s="112">
        <f>-$B88*(F114*(1+'Resid - Datos'!$O$13))</f>
        <v>0</v>
      </c>
      <c r="H88" s="112">
        <f>-$B88*(G114*(1+'Resid - Datos'!$O$13))</f>
        <v>0</v>
      </c>
      <c r="I88" s="112">
        <f>-$B88*(H114*(1+'Resid - Datos'!$O$13))</f>
        <v>0</v>
      </c>
      <c r="J88" s="112">
        <f>-$B88*(I114*(1+'Resid - Datos'!$O$13))</f>
        <v>0</v>
      </c>
      <c r="K88" s="112">
        <f>-$B88*(J114*(1+'Resid - Datos'!$O$13))</f>
        <v>-37145.018400000001</v>
      </c>
      <c r="L88" s="112">
        <f>-$B88*(K114*(1+'Resid - Datos'!$O$13))</f>
        <v>-28161.57645</v>
      </c>
      <c r="M88" s="112">
        <f>-$B88*(L114*(1+'Resid - Datos'!$O$13))</f>
        <v>-24669.137219999997</v>
      </c>
      <c r="N88" s="112">
        <f>-$B88*(M114*(1+'Resid - Datos'!$O$13))</f>
        <v>-19178.134500000004</v>
      </c>
      <c r="O88" s="112">
        <f>-$B88*(N114*(1+'Resid - Datos'!$O$13))</f>
        <v>-19480.947150000004</v>
      </c>
      <c r="P88" s="112">
        <f>-$B88*(O114*(1+'Resid - Datos'!$O$13))</f>
        <v>-19783.759800000003</v>
      </c>
      <c r="Q88" s="112">
        <f>-$B88*(P114*(1+'Resid - Datos'!$O$13))</f>
        <v>-13989.94443</v>
      </c>
      <c r="R88" s="112">
        <f>-$B88*(Q114*(1+'Resid - Datos'!$O$13))</f>
        <v>-14131.257</v>
      </c>
      <c r="S88" s="112">
        <f>-$B88*(R114*(1+'Resid - Datos'!$O$13))</f>
        <v>-14131.257</v>
      </c>
      <c r="T88" s="112">
        <f>-$B88*(S114*(1+'Resid - Datos'!$O$13))</f>
        <v>-10194.69255</v>
      </c>
      <c r="U88" s="112">
        <f>-$B88*(T114*(1+'Resid - Datos'!$O$13))</f>
        <v>-10295.6301</v>
      </c>
      <c r="V88" s="112">
        <f>-$B88*(U114*(1+'Resid - Datos'!$O$13))</f>
        <v>-10396.567649999999</v>
      </c>
      <c r="W88" s="112">
        <f>-$B88*(V114*(1+'Resid - Datos'!$O$13))</f>
        <v>-8398.0041600000004</v>
      </c>
      <c r="X88" s="112">
        <f>-$B88*(W114*(1+'Resid - Datos'!$O$13))</f>
        <v>-8478.7542000000012</v>
      </c>
      <c r="Y88" s="112">
        <f>-$B88*(X114*(1+'Resid - Datos'!$O$13))</f>
        <v>-8478.7542000000012</v>
      </c>
      <c r="Z88" s="112">
        <f>-$B88*(Y114*(1+'Resid - Datos'!$O$13))</f>
        <v>-8478.7542000000012</v>
      </c>
      <c r="AA88" s="112">
        <f>-$B88*(Z114*(1+'Resid - Datos'!$O$13))</f>
        <v>-8478.7542000000012</v>
      </c>
      <c r="AB88" s="112">
        <f>-$B88*(AA114*(1+'Resid - Datos'!$O$13))</f>
        <v>-8478.7542000000012</v>
      </c>
      <c r="AC88" s="112">
        <f>-$B88*(AB114*(1+'Resid - Datos'!$O$13))</f>
        <v>-8478.7542000000012</v>
      </c>
      <c r="AD88" s="112">
        <f>-$B88*(AC114*(1+'Resid - Datos'!$O$13))</f>
        <v>-8478.7542000000012</v>
      </c>
      <c r="AE88" s="112">
        <f>-$B88*(AD114*(1+'Resid - Datos'!$O$13))</f>
        <v>-8478.7542000000012</v>
      </c>
      <c r="AF88" s="112">
        <f>-$B88*(AE114*(1+'Resid - Datos'!$O$13))</f>
        <v>-8478.7542000000012</v>
      </c>
      <c r="AG88" s="112">
        <f>-$B88*(AF114*(1+'Resid - Datos'!$O$13))</f>
        <v>-8478.7542000000012</v>
      </c>
      <c r="AH88" s="112">
        <f>-$B88*(AG114*(1+'Resid - Datos'!$O$13))</f>
        <v>-8478.7542000000012</v>
      </c>
      <c r="AI88" s="112">
        <f>-$B88*(AH114*(1+'Resid - Datos'!$O$13))</f>
        <v>-6359.0656499999996</v>
      </c>
      <c r="AJ88" s="112">
        <f>-$B88*(AI114*(1+'Resid - Datos'!$O$13))</f>
        <v>-6359.0656499999996</v>
      </c>
      <c r="AK88" s="112">
        <f>-$B88*(AJ114*(1+'Resid - Datos'!$O$13))</f>
        <v>-6359.0656499999996</v>
      </c>
      <c r="AL88" s="112">
        <f>-$B88*(AK114*(1+'Resid - Datos'!$O$13))</f>
        <v>-6359.0656499999996</v>
      </c>
      <c r="AM88" s="112">
        <f>-$B88*(AL114*(1+'Resid - Datos'!$O$13))</f>
        <v>-6359.0656499999996</v>
      </c>
      <c r="AN88" s="112">
        <f>-$B88*(AM114*(1+'Resid - Datos'!$O$13))</f>
        <v>-6359.0656499999996</v>
      </c>
      <c r="AO88" s="112">
        <f>-$B88*(AN114*(1+'Resid - Datos'!$O$13))</f>
        <v>-6359.0656499999996</v>
      </c>
      <c r="AP88" s="112">
        <f>-$B88*(AO114*(1+'Resid - Datos'!$O$13))</f>
        <v>-6359.0656499999996</v>
      </c>
      <c r="AQ88" s="112">
        <f>-$B88*(AP114*(1+'Resid - Datos'!$O$13))</f>
        <v>-6359.0656499999996</v>
      </c>
      <c r="AR88" s="112">
        <f>-$B88*(AQ114*(1+'Resid - Datos'!$O$13))</f>
        <v>-6359.0656499999996</v>
      </c>
      <c r="AS88" s="112">
        <f>-$B88*(AR114*(1+'Resid - Datos'!$O$13))</f>
        <v>-4239.3771000000006</v>
      </c>
      <c r="AT88" s="112">
        <f>-$B88*(AS114*(1+'Resid - Datos'!$O$13))</f>
        <v>-4239.3771000000006</v>
      </c>
      <c r="AU88" s="112">
        <f>-$B88*(AT114*(1+'Resid - Datos'!$O$13))</f>
        <v>-4239.3771000000006</v>
      </c>
      <c r="AV88" s="112">
        <f>-$B88*(AU114*(1+'Resid - Datos'!$O$13))</f>
        <v>-4239.3771000000006</v>
      </c>
      <c r="AW88" s="112">
        <f>-$B88*(AV114*(1+'Resid - Datos'!$O$13))</f>
        <v>0</v>
      </c>
      <c r="AX88" s="112">
        <f>-$B88*(AW114*(1+'Resid - Datos'!$O$13))</f>
        <v>0</v>
      </c>
      <c r="AY88" s="112">
        <f>-$B88*(AX114*(1+'Resid - Datos'!$O$13))</f>
        <v>0</v>
      </c>
      <c r="AZ88" s="112">
        <f>-$B88*(AY114*(1+'Resid - Datos'!$O$13))</f>
        <v>0</v>
      </c>
      <c r="BA88" s="112">
        <f>-$B88*(AZ114*(1+'Resid - Datos'!$O$13))</f>
        <v>0</v>
      </c>
      <c r="BB88" s="112">
        <f>-$B88*(BA114*(1+'Resid - Datos'!$O$13))</f>
        <v>0</v>
      </c>
      <c r="BC88" s="112">
        <f>-$B88*(BB114*(1+'Resid - Datos'!$O$13))</f>
        <v>0</v>
      </c>
      <c r="BD88" s="112">
        <f>-$B88*(BC114*(1+'Resid - Datos'!$O$13))</f>
        <v>0</v>
      </c>
      <c r="BE88" s="112">
        <f>-$B88*(BD114*(1+'Resid - Datos'!$O$13))</f>
        <v>0</v>
      </c>
      <c r="BF88" s="112">
        <f>-$B88*(BE114*(1+'Resid - Datos'!$O$13))</f>
        <v>0</v>
      </c>
      <c r="BG88" s="112">
        <f>-$B88*(BF114*(1+'Resid - Datos'!$O$13))</f>
        <v>0</v>
      </c>
      <c r="BH88" s="112">
        <f>-$B88*(BG114*(1+'Resid - Datos'!$O$13))</f>
        <v>0</v>
      </c>
      <c r="BI88" s="112">
        <f>-$B88*(BH114*(1+'Resid - Datos'!$O$13))</f>
        <v>0</v>
      </c>
      <c r="BJ88" s="112">
        <f>-$B88*(BI114*(1+'Resid - Datos'!$O$13))</f>
        <v>0</v>
      </c>
      <c r="BK88" s="112">
        <f>-$B88*(BJ114*(1+'Resid - Datos'!$O$13))</f>
        <v>0</v>
      </c>
      <c r="BL88" s="112">
        <f>-$B88*(BK114*(1+'Resid - Datos'!$O$13))</f>
        <v>0</v>
      </c>
      <c r="BM88" s="112">
        <f>-$B88*(BL114*(1+'Resid - Datos'!$O$13))</f>
        <v>0</v>
      </c>
      <c r="BN88" s="112">
        <f>-$B88*(BM114*(1+'Resid - Datos'!$O$13))</f>
        <v>0</v>
      </c>
      <c r="BO88" s="112">
        <f>-$B88*(BN114*(1+'Resid - Datos'!$O$13))</f>
        <v>0</v>
      </c>
      <c r="BP88" s="112">
        <f>-$B88*(BO114*(1+'Resid - Datos'!$O$13))</f>
        <v>0</v>
      </c>
      <c r="BQ88" s="112">
        <f>-$B88*(BP114*(1+'Resid - Datos'!$O$13))</f>
        <v>0</v>
      </c>
    </row>
    <row r="89" spans="1:69" s="112" customFormat="1" ht="14" hidden="1" outlineLevel="1">
      <c r="A89" s="112" t="str">
        <f>'Resid - Datos'!I26</f>
        <v>Varios</v>
      </c>
      <c r="B89" s="615">
        <f>'Resid - Datos'!M26</f>
        <v>0</v>
      </c>
      <c r="C89" s="633">
        <f t="shared" si="92"/>
        <v>0</v>
      </c>
      <c r="E89" s="112">
        <f>-$B89*(E217*(1+'Resid - Datos'!$O$13))</f>
        <v>0</v>
      </c>
      <c r="F89" s="112">
        <f>-$B89*(F217*(1+'Resid - Datos'!$O$13))</f>
        <v>0</v>
      </c>
      <c r="G89" s="112">
        <f>-$B89*(G217*(1+'Resid - Datos'!$O$13))</f>
        <v>0</v>
      </c>
      <c r="H89" s="112">
        <f>-$B89*(H217*(1+'Resid - Datos'!$O$13))</f>
        <v>0</v>
      </c>
      <c r="I89" s="112">
        <f>-$B89*(I217*(1+'Resid - Datos'!$O$13))</f>
        <v>0</v>
      </c>
      <c r="J89" s="112">
        <f>-$B89*(J217*(1+'Resid - Datos'!$O$13))</f>
        <v>0</v>
      </c>
      <c r="K89" s="112">
        <f>-$B89*(K217*(1+'Resid - Datos'!$O$13))</f>
        <v>0</v>
      </c>
      <c r="L89" s="112">
        <f>-$B89*(L217*(1+'Resid - Datos'!$O$13))</f>
        <v>0</v>
      </c>
      <c r="M89" s="112">
        <f>-$B89*(M217*(1+'Resid - Datos'!$O$13))</f>
        <v>0</v>
      </c>
      <c r="N89" s="112">
        <f>-$B89*(N217*(1+'Resid - Datos'!$O$13))</f>
        <v>0</v>
      </c>
      <c r="O89" s="112">
        <f>-$B89*(O217*(1+'Resid - Datos'!$O$13))</f>
        <v>0</v>
      </c>
      <c r="P89" s="112">
        <f>-$B89*(P217*(1+'Resid - Datos'!$O$13))</f>
        <v>0</v>
      </c>
      <c r="Q89" s="112">
        <f>-$B89*(Q217*(1+'Resid - Datos'!$O$13))</f>
        <v>0</v>
      </c>
      <c r="R89" s="112">
        <f>-$B89*(R217*(1+'Resid - Datos'!$O$13))</f>
        <v>0</v>
      </c>
      <c r="S89" s="112">
        <f>-$B89*(S217*(1+'Resid - Datos'!$O$13))</f>
        <v>0</v>
      </c>
      <c r="T89" s="112">
        <f>-$B89*(T217*(1+'Resid - Datos'!$O$13))</f>
        <v>0</v>
      </c>
      <c r="U89" s="112">
        <f>-$B89*(U217*(1+'Resid - Datos'!$O$13))</f>
        <v>0</v>
      </c>
      <c r="V89" s="112">
        <f>-$B89*(V217*(1+'Resid - Datos'!$O$13))</f>
        <v>0</v>
      </c>
      <c r="W89" s="112">
        <f>-$B89*(W217*(1+'Resid - Datos'!$O$13))</f>
        <v>0</v>
      </c>
      <c r="X89" s="112">
        <f>-$B89*(X217*(1+'Resid - Datos'!$O$13))</f>
        <v>0</v>
      </c>
      <c r="Y89" s="112">
        <f>-$B89*(Y217*(1+'Resid - Datos'!$O$13))</f>
        <v>0</v>
      </c>
      <c r="Z89" s="112">
        <f>-$B89*(Z217*(1+'Resid - Datos'!$O$13))</f>
        <v>0</v>
      </c>
      <c r="AA89" s="112">
        <f>-$B89*(AA217*(1+'Resid - Datos'!$O$13))</f>
        <v>0</v>
      </c>
      <c r="AB89" s="112">
        <f>-$B89*(AB217*(1+'Resid - Datos'!$O$13))</f>
        <v>0</v>
      </c>
      <c r="AC89" s="112">
        <f>-$B89*(AC217*(1+'Resid - Datos'!$O$13))</f>
        <v>0</v>
      </c>
      <c r="AD89" s="112">
        <f>-$B89*(AD217*(1+'Resid - Datos'!$O$13))</f>
        <v>0</v>
      </c>
      <c r="AE89" s="112">
        <f>-$B89*(AE217*(1+'Resid - Datos'!$O$13))</f>
        <v>0</v>
      </c>
      <c r="AF89" s="112">
        <f>-$B89*(AF217*(1+'Resid - Datos'!$O$13))</f>
        <v>0</v>
      </c>
      <c r="AG89" s="112">
        <f>-$B89*(AG217*(1+'Resid - Datos'!$O$13))</f>
        <v>0</v>
      </c>
      <c r="AH89" s="112">
        <f>-$B89*(AH217*(1+'Resid - Datos'!$O$13))</f>
        <v>0</v>
      </c>
      <c r="AI89" s="112">
        <f>-$B89*(AI217*(1+'Resid - Datos'!$O$13))</f>
        <v>0</v>
      </c>
      <c r="AJ89" s="112">
        <f>-$B89*(AJ217*(1+'Resid - Datos'!$O$13))</f>
        <v>0</v>
      </c>
      <c r="AK89" s="112">
        <f>-$B89*(AK217*(1+'Resid - Datos'!$O$13))</f>
        <v>0</v>
      </c>
      <c r="AL89" s="112">
        <f>-$B89*(AL217*(1+'Resid - Datos'!$O$13))</f>
        <v>0</v>
      </c>
      <c r="AM89" s="112">
        <f>-$B89*(AM217*(1+'Resid - Datos'!$O$13))</f>
        <v>0</v>
      </c>
      <c r="AN89" s="112">
        <f>-$B89*(AN217*(1+'Resid - Datos'!$O$13))</f>
        <v>0</v>
      </c>
      <c r="AO89" s="112">
        <f>-$B89*(AO217*(1+'Resid - Datos'!$O$13))</f>
        <v>0</v>
      </c>
      <c r="AP89" s="112">
        <f>-$B89*(AP217*(1+'Resid - Datos'!$O$13))</f>
        <v>0</v>
      </c>
      <c r="AQ89" s="112">
        <f>-$B89*(AQ217*(1+'Resid - Datos'!$O$13))</f>
        <v>0</v>
      </c>
      <c r="AR89" s="112">
        <f>-$B89*(AR217*(1+'Resid - Datos'!$O$13))</f>
        <v>0</v>
      </c>
      <c r="AS89" s="112">
        <f>-$B89*(AS217*(1+'Resid - Datos'!$O$13))</f>
        <v>0</v>
      </c>
      <c r="AT89" s="112">
        <f>-$B89*(AT217*(1+'Resid - Datos'!$O$13))</f>
        <v>0</v>
      </c>
      <c r="AU89" s="112">
        <f>-$B89*(AU217*(1+'Resid - Datos'!$O$13))</f>
        <v>0</v>
      </c>
      <c r="AV89" s="112">
        <f>-$B89*(AV217*(1+'Resid - Datos'!$O$13))</f>
        <v>0</v>
      </c>
      <c r="AW89" s="112">
        <f>-$B89*(AW217*(1+'Resid - Datos'!$O$13))</f>
        <v>0</v>
      </c>
      <c r="AX89" s="112">
        <f>-$B89*(AX217*(1+'Resid - Datos'!$O$13))</f>
        <v>0</v>
      </c>
      <c r="AY89" s="112">
        <f>-$B89*(AY217*(1+'Resid - Datos'!$O$13))</f>
        <v>0</v>
      </c>
      <c r="AZ89" s="112">
        <f>-$B89*(AZ217*(1+'Resid - Datos'!$O$13))</f>
        <v>0</v>
      </c>
      <c r="BA89" s="112">
        <f>-$B89*(BA217*(1+'Resid - Datos'!$O$13))</f>
        <v>0</v>
      </c>
      <c r="BB89" s="112">
        <f>-$B89*(BB217*(1+'Resid - Datos'!$O$13))</f>
        <v>0</v>
      </c>
      <c r="BC89" s="112">
        <f>-$B89*(BC217*(1+'Resid - Datos'!$O$13))</f>
        <v>0</v>
      </c>
      <c r="BD89" s="112">
        <f>-$B89*(BD217*(1+'Resid - Datos'!$O$13))</f>
        <v>0</v>
      </c>
      <c r="BE89" s="112">
        <f>-$B89*(BE217*(1+'Resid - Datos'!$O$13))</f>
        <v>0</v>
      </c>
      <c r="BF89" s="112">
        <f>-$B89*(BF217*(1+'Resid - Datos'!$O$13))</f>
        <v>0</v>
      </c>
      <c r="BG89" s="112">
        <f>-$B89*(BG217*(1+'Resid - Datos'!$O$13))</f>
        <v>0</v>
      </c>
      <c r="BH89" s="112">
        <f>-$B89*(BH217*(1+'Resid - Datos'!$O$13))</f>
        <v>0</v>
      </c>
      <c r="BI89" s="112">
        <f>-$B89*(BI217*(1+'Resid - Datos'!$O$13))</f>
        <v>0</v>
      </c>
      <c r="BJ89" s="112">
        <f>-$B89*(BJ217*(1+'Resid - Datos'!$O$13))</f>
        <v>0</v>
      </c>
      <c r="BK89" s="112">
        <f>-$B89*(BK217*(1+'Resid - Datos'!$O$13))</f>
        <v>0</v>
      </c>
      <c r="BL89" s="112">
        <f>-$B89*(BL217*(1+'Resid - Datos'!$O$13))</f>
        <v>0</v>
      </c>
      <c r="BM89" s="112">
        <f>-$B89*(BM217*(1+'Resid - Datos'!$O$13))</f>
        <v>0</v>
      </c>
      <c r="BN89" s="112">
        <f>-$B89*(BN217*(1+'Resid - Datos'!$O$13))</f>
        <v>0</v>
      </c>
      <c r="BO89" s="112">
        <f>-$B89*(BO217*(1+'Resid - Datos'!$O$13))</f>
        <v>0</v>
      </c>
      <c r="BP89" s="112">
        <f>-$B89*(BP217*(1+'Resid - Datos'!$O$13))</f>
        <v>0</v>
      </c>
      <c r="BQ89" s="112">
        <f>-$B89*(BQ217*(1+'Resid - Datos'!$O$13))</f>
        <v>0</v>
      </c>
    </row>
    <row r="90" spans="1:69" s="112" customFormat="1" ht="14" hidden="1" outlineLevel="1">
      <c r="A90" s="112" t="str">
        <f>'Resid - Datos'!I27</f>
        <v>Fee Desarrollista</v>
      </c>
      <c r="B90" s="615">
        <f>'Resid - Datos'!M27</f>
        <v>0</v>
      </c>
      <c r="C90" s="633">
        <f t="shared" si="92"/>
        <v>0</v>
      </c>
      <c r="E90" s="112">
        <f>-$B90*(E217*(1+'Resid - Datos'!$O$13))</f>
        <v>0</v>
      </c>
      <c r="F90" s="112">
        <f>-$B90*(F217*(1+'Resid - Datos'!$O$13))</f>
        <v>0</v>
      </c>
      <c r="G90" s="112">
        <f>-$B90*(G217*(1+'Resid - Datos'!$O$13))</f>
        <v>0</v>
      </c>
      <c r="H90" s="112">
        <f>-$B90*(H217*(1+'Resid - Datos'!$O$13))</f>
        <v>0</v>
      </c>
      <c r="I90" s="112">
        <f>-$B90*(I217*(1+'Resid - Datos'!$O$13))</f>
        <v>0</v>
      </c>
      <c r="J90" s="112">
        <f>-$B90*(J217*(1+'Resid - Datos'!$O$13))</f>
        <v>0</v>
      </c>
      <c r="K90" s="112">
        <f>-$B90*(K217*(1+'Resid - Datos'!$O$13))</f>
        <v>0</v>
      </c>
      <c r="L90" s="112">
        <f>-$B90*(L217*(1+'Resid - Datos'!$O$13))</f>
        <v>0</v>
      </c>
      <c r="M90" s="112">
        <f>-$B90*(M217*(1+'Resid - Datos'!$O$13))</f>
        <v>0</v>
      </c>
      <c r="N90" s="112">
        <f>-$B90*(N217*(1+'Resid - Datos'!$O$13))</f>
        <v>0</v>
      </c>
      <c r="O90" s="112">
        <f>-$B90*(O217*(1+'Resid - Datos'!$O$13))</f>
        <v>0</v>
      </c>
      <c r="P90" s="112">
        <f>-$B90*(P217*(1+'Resid - Datos'!$O$13))</f>
        <v>0</v>
      </c>
      <c r="Q90" s="112">
        <f>-$B90*(Q217*(1+'Resid - Datos'!$O$13))</f>
        <v>0</v>
      </c>
      <c r="R90" s="112">
        <f>-$B90*(R217*(1+'Resid - Datos'!$O$13))</f>
        <v>0</v>
      </c>
      <c r="S90" s="112">
        <f>-$B90*(S217*(1+'Resid - Datos'!$O$13))</f>
        <v>0</v>
      </c>
      <c r="T90" s="112">
        <f>-$B90*(T217*(1+'Resid - Datos'!$O$13))</f>
        <v>0</v>
      </c>
      <c r="U90" s="112">
        <f>-$B90*(U217*(1+'Resid - Datos'!$O$13))</f>
        <v>0</v>
      </c>
      <c r="V90" s="112">
        <f>-$B90*(V217*(1+'Resid - Datos'!$O$13))</f>
        <v>0</v>
      </c>
      <c r="W90" s="112">
        <f>-$B90*(W217*(1+'Resid - Datos'!$O$13))</f>
        <v>0</v>
      </c>
      <c r="X90" s="112">
        <f>-$B90*(X217*(1+'Resid - Datos'!$O$13))</f>
        <v>0</v>
      </c>
      <c r="Y90" s="112">
        <f>-$B90*(Y217*(1+'Resid - Datos'!$O$13))</f>
        <v>0</v>
      </c>
      <c r="Z90" s="112">
        <f>-$B90*(Z217*(1+'Resid - Datos'!$O$13))</f>
        <v>0</v>
      </c>
      <c r="AA90" s="112">
        <f>-$B90*(AA217*(1+'Resid - Datos'!$O$13))</f>
        <v>0</v>
      </c>
      <c r="AB90" s="112">
        <f>-$B90*(AB217*(1+'Resid - Datos'!$O$13))</f>
        <v>0</v>
      </c>
      <c r="AC90" s="112">
        <f>-$B90*(AC217*(1+'Resid - Datos'!$O$13))</f>
        <v>0</v>
      </c>
      <c r="AD90" s="112">
        <f>-$B90*(AD217*(1+'Resid - Datos'!$O$13))</f>
        <v>0</v>
      </c>
      <c r="AE90" s="112">
        <f>-$B90*(AE217*(1+'Resid - Datos'!$O$13))</f>
        <v>0</v>
      </c>
      <c r="AF90" s="112">
        <f>-$B90*(AF217*(1+'Resid - Datos'!$O$13))</f>
        <v>0</v>
      </c>
      <c r="AG90" s="112">
        <f>-$B90*(AG217*(1+'Resid - Datos'!$O$13))</f>
        <v>0</v>
      </c>
      <c r="AH90" s="112">
        <f>-$B90*(AH217*(1+'Resid - Datos'!$O$13))</f>
        <v>0</v>
      </c>
      <c r="AI90" s="112">
        <f>-$B90*(AI217*(1+'Resid - Datos'!$O$13))</f>
        <v>0</v>
      </c>
      <c r="AJ90" s="112">
        <f>-$B90*(AJ217*(1+'Resid - Datos'!$O$13))</f>
        <v>0</v>
      </c>
      <c r="AK90" s="112">
        <f>-$B90*(AK217*(1+'Resid - Datos'!$O$13))</f>
        <v>0</v>
      </c>
      <c r="AL90" s="112">
        <f>-$B90*(AL217*(1+'Resid - Datos'!$O$13))</f>
        <v>0</v>
      </c>
      <c r="AM90" s="112">
        <f>-$B90*(AM217*(1+'Resid - Datos'!$O$13))</f>
        <v>0</v>
      </c>
      <c r="AN90" s="112">
        <f>-$B90*(AN217*(1+'Resid - Datos'!$O$13))</f>
        <v>0</v>
      </c>
      <c r="AO90" s="112">
        <f>-$B90*(AO217*(1+'Resid - Datos'!$O$13))</f>
        <v>0</v>
      </c>
      <c r="AP90" s="112">
        <f>-$B90*(AP217*(1+'Resid - Datos'!$O$13))</f>
        <v>0</v>
      </c>
      <c r="AQ90" s="112">
        <f>-$B90*(AQ217*(1+'Resid - Datos'!$O$13))</f>
        <v>0</v>
      </c>
      <c r="AR90" s="112">
        <f>-$B90*(AR217*(1+'Resid - Datos'!$O$13))</f>
        <v>0</v>
      </c>
      <c r="AS90" s="112">
        <f>-$B90*(AS217*(1+'Resid - Datos'!$O$13))</f>
        <v>0</v>
      </c>
      <c r="AT90" s="112">
        <f>-$B90*(AT217*(1+'Resid - Datos'!$O$13))</f>
        <v>0</v>
      </c>
      <c r="AU90" s="112">
        <f>-$B90*(AU217*(1+'Resid - Datos'!$O$13))</f>
        <v>0</v>
      </c>
      <c r="AV90" s="112">
        <f>-$B90*(AV217*(1+'Resid - Datos'!$O$13))</f>
        <v>0</v>
      </c>
      <c r="AW90" s="112">
        <f>-$B90*(AW217*(1+'Resid - Datos'!$O$13))</f>
        <v>0</v>
      </c>
      <c r="AX90" s="112">
        <f>-$B90*(AX217*(1+'Resid - Datos'!$O$13))</f>
        <v>0</v>
      </c>
      <c r="AY90" s="112">
        <f>-$B90*(AY217*(1+'Resid - Datos'!$O$13))</f>
        <v>0</v>
      </c>
      <c r="AZ90" s="112">
        <f>-$B90*(AZ217*(1+'Resid - Datos'!$O$13))</f>
        <v>0</v>
      </c>
      <c r="BA90" s="112">
        <f>-$B90*(BA217*(1+'Resid - Datos'!$O$13))</f>
        <v>0</v>
      </c>
      <c r="BB90" s="112">
        <f>-$B90*(BB217*(1+'Resid - Datos'!$O$13))</f>
        <v>0</v>
      </c>
      <c r="BC90" s="112">
        <f>-$B90*(BC217*(1+'Resid - Datos'!$O$13))</f>
        <v>0</v>
      </c>
      <c r="BD90" s="112">
        <f>-$B90*(BD217*(1+'Resid - Datos'!$O$13))</f>
        <v>0</v>
      </c>
      <c r="BE90" s="112">
        <f>-$B90*(BE217*(1+'Resid - Datos'!$O$13))</f>
        <v>0</v>
      </c>
      <c r="BF90" s="112">
        <f>-$B90*(BF217*(1+'Resid - Datos'!$O$13))</f>
        <v>0</v>
      </c>
      <c r="BG90" s="112">
        <f>-$B90*(BG217*(1+'Resid - Datos'!$O$13))</f>
        <v>0</v>
      </c>
      <c r="BH90" s="112">
        <f>-$B90*(BH217*(1+'Resid - Datos'!$O$13))</f>
        <v>0</v>
      </c>
      <c r="BI90" s="112">
        <f>-$B90*(BI217*(1+'Resid - Datos'!$O$13))</f>
        <v>0</v>
      </c>
      <c r="BJ90" s="112">
        <f>-$B90*(BJ217*(1+'Resid - Datos'!$O$13))</f>
        <v>0</v>
      </c>
      <c r="BK90" s="112">
        <f>-$B90*(BK217*(1+'Resid - Datos'!$O$13))</f>
        <v>0</v>
      </c>
      <c r="BL90" s="112">
        <f>-$B90*(BL217*(1+'Resid - Datos'!$O$13))</f>
        <v>0</v>
      </c>
      <c r="BM90" s="112">
        <f>-$B90*(BM217*(1+'Resid - Datos'!$O$13))</f>
        <v>0</v>
      </c>
      <c r="BN90" s="112">
        <f>-$B90*(BN217*(1+'Resid - Datos'!$O$13))</f>
        <v>0</v>
      </c>
      <c r="BO90" s="112">
        <f>-$B90*(BO217*(1+'Resid - Datos'!$O$13))</f>
        <v>0</v>
      </c>
      <c r="BP90" s="112">
        <f>-$B90*(BP217*(1+'Resid - Datos'!$O$13))</f>
        <v>0</v>
      </c>
      <c r="BQ90" s="112">
        <f>-$B90*(BQ217*(1+'Resid - Datos'!$O$13))</f>
        <v>0</v>
      </c>
    </row>
    <row r="91" spans="1:69" s="112" customFormat="1" ht="14" hidden="1" outlineLevel="1">
      <c r="A91" s="87" t="str">
        <f>+'Resid - Datos'!I9</f>
        <v>IIBB</v>
      </c>
      <c r="B91" s="617">
        <f>+'Resid - Datos'!O9</f>
        <v>0.04</v>
      </c>
      <c r="C91" s="612">
        <f t="shared" si="92"/>
        <v>-1252878.3488414043</v>
      </c>
      <c r="D91" s="87"/>
      <c r="E91" s="87">
        <f>-$B$91*E217</f>
        <v>0</v>
      </c>
      <c r="F91" s="87">
        <f>-$B$91*F217</f>
        <v>0</v>
      </c>
      <c r="G91" s="87">
        <f>-$B$91*G217</f>
        <v>0</v>
      </c>
      <c r="H91" s="87">
        <f>-$B$91*H217</f>
        <v>0</v>
      </c>
      <c r="I91" s="87">
        <f>-$B$91*I217</f>
        <v>0</v>
      </c>
      <c r="J91" s="87">
        <f>-$B$91*J217</f>
        <v>0</v>
      </c>
      <c r="K91" s="87">
        <f>-$B$91*K217</f>
        <v>-27662.170833876524</v>
      </c>
      <c r="L91" s="87">
        <f>-$B$91*L217</f>
        <v>-22065.148037922721</v>
      </c>
      <c r="M91" s="87">
        <f>-$B$91*M217</f>
        <v>-20317.47659176249</v>
      </c>
      <c r="N91" s="87">
        <f>-$B$91*N217</f>
        <v>-16403.380161995014</v>
      </c>
      <c r="O91" s="87">
        <f>-$B$91*O217</f>
        <v>-16118.991618755303</v>
      </c>
      <c r="P91" s="87">
        <f>-$B$91*P217</f>
        <v>-17116.621658224241</v>
      </c>
      <c r="Q91" s="87">
        <f>-$B$91*Q217</f>
        <v>-14615.604414076999</v>
      </c>
      <c r="R91" s="87">
        <f>-$B$91*R217</f>
        <v>-15356.383966521094</v>
      </c>
      <c r="S91" s="87">
        <f>-$B$91*S217</f>
        <v>-16030.946211844035</v>
      </c>
      <c r="T91" s="87">
        <f>-$B$91*T217</f>
        <v>-14360.174772993996</v>
      </c>
      <c r="U91" s="87">
        <f>-$B$91*U217</f>
        <v>-14981.226510985796</v>
      </c>
      <c r="V91" s="87">
        <f>-$B$91*V217</f>
        <v>-15630.678329088872</v>
      </c>
      <c r="W91" s="87">
        <f>-$B$91*W217</f>
        <v>-15073.315431660205</v>
      </c>
      <c r="X91" s="87">
        <f>-$B$91*X217</f>
        <v>-15669.632232477357</v>
      </c>
      <c r="Y91" s="87">
        <f>-$B$91*Y217</f>
        <v>-16236.98436053042</v>
      </c>
      <c r="Z91" s="87">
        <f>-$B$91*Z217</f>
        <v>-17096.259860755457</v>
      </c>
      <c r="AA91" s="87">
        <f>-$B$91*AA217</f>
        <v>-17750.790357353526</v>
      </c>
      <c r="AB91" s="87">
        <f>-$B$91*AB217</f>
        <v>-18442.982811856004</v>
      </c>
      <c r="AC91" s="87">
        <f>-$B$91*AC217</f>
        <v>-19440.974197369327</v>
      </c>
      <c r="AD91" s="87">
        <f>-$B$91*AD217</f>
        <v>-20256.16012997341</v>
      </c>
      <c r="AE91" s="87">
        <f>-$B$91*AE217</f>
        <v>-21130.378559535369</v>
      </c>
      <c r="AF91" s="87">
        <f>-$B$91*AF217</f>
        <v>-22337.204526291061</v>
      </c>
      <c r="AG91" s="87">
        <f>-$B$91*AG217</f>
        <v>-23403.853715102101</v>
      </c>
      <c r="AH91" s="87">
        <f>-$B$91*AH217</f>
        <v>-24576.946819740762</v>
      </c>
      <c r="AI91" s="87">
        <f>-$B$91*AI217</f>
        <v>-24306.501581004522</v>
      </c>
      <c r="AJ91" s="87">
        <f>-$B$91*AJ217</f>
        <v>-25463.031432306805</v>
      </c>
      <c r="AK91" s="87">
        <f>-$B$91*AK217</f>
        <v>-26815.951311032615</v>
      </c>
      <c r="AL91" s="87">
        <f>-$B$91*AL217</f>
        <v>-28672.661940905658</v>
      </c>
      <c r="AM91" s="87">
        <f>-$B$91*AM217</f>
        <v>-30983.814588407247</v>
      </c>
      <c r="AN91" s="87">
        <f>-$B$91*AN217</f>
        <v>-67075.197894252124</v>
      </c>
      <c r="AO91" s="87">
        <f>-$B$91*AO217</f>
        <v>-57340.553534027807</v>
      </c>
      <c r="AP91" s="87">
        <f>-$B$91*AP217</f>
        <v>-58431.416431741425</v>
      </c>
      <c r="AQ91" s="87">
        <f>-$B$91*AQ217</f>
        <v>-27666.852635369662</v>
      </c>
      <c r="AR91" s="87">
        <f>-$B$91*AR217</f>
        <v>-29293.741170966216</v>
      </c>
      <c r="AS91" s="87">
        <f>-$B$91*AS217</f>
        <v>-29570.804415170551</v>
      </c>
      <c r="AT91" s="87">
        <f>-$B$91*AT217</f>
        <v>-65557.376224488457</v>
      </c>
      <c r="AU91" s="87">
        <f>-$B$91*AU217</f>
        <v>-54242.316696852802</v>
      </c>
      <c r="AV91" s="87">
        <f>-$B$91*AV217</f>
        <v>-54792.660214861527</v>
      </c>
      <c r="AW91" s="87">
        <f>-$B$91*AW217</f>
        <v>-16941.750948047087</v>
      </c>
      <c r="AX91" s="87">
        <f>-$B$91*AX217</f>
        <v>-11741.214939841291</v>
      </c>
      <c r="AY91" s="87">
        <f>-$B$91*AY217</f>
        <v>-11741.214939841291</v>
      </c>
      <c r="AZ91" s="87">
        <f>-$B$91*AZ217</f>
        <v>-45258.44740012267</v>
      </c>
      <c r="BA91" s="87">
        <f>-$B$91*BA217</f>
        <v>-36874.104518205946</v>
      </c>
      <c r="BB91" s="87">
        <f>-$B$91*BB217</f>
        <v>-36874.104518205946</v>
      </c>
      <c r="BC91" s="87">
        <f>-$B$91*BC217</f>
        <v>-3356.8720579245605</v>
      </c>
      <c r="BD91" s="87">
        <f>-$B$91*BD217</f>
        <v>-3356.8720579245605</v>
      </c>
      <c r="BE91" s="87">
        <f>-$B$91*BE217</f>
        <v>-3356.8720579245605</v>
      </c>
      <c r="BF91" s="87">
        <f>-$B$91*BF217</f>
        <v>-22601.157779045421</v>
      </c>
      <c r="BG91" s="87">
        <f>-$B$91*BG217</f>
        <v>-19244.285721120861</v>
      </c>
      <c r="BH91" s="87">
        <f>-$B$91*BH217</f>
        <v>-19244.285721120861</v>
      </c>
      <c r="BI91" s="87">
        <f>-$B$91*BI217</f>
        <v>0</v>
      </c>
      <c r="BJ91" s="87">
        <f>-$B$91*BJ217</f>
        <v>0</v>
      </c>
      <c r="BK91" s="87">
        <f>-$B$91*BK217</f>
        <v>0</v>
      </c>
      <c r="BL91" s="87">
        <f>-$B$91*BL217</f>
        <v>0</v>
      </c>
      <c r="BM91" s="87">
        <f>-$B$91*BM217</f>
        <v>0</v>
      </c>
      <c r="BN91" s="87">
        <f>-$B$91*BN217</f>
        <v>0</v>
      </c>
      <c r="BO91" s="87">
        <f>-$B$91*BO217</f>
        <v>0</v>
      </c>
      <c r="BP91" s="87">
        <f>-$B$91*BP217</f>
        <v>0</v>
      </c>
      <c r="BQ91" s="87">
        <f>-$B$91*BQ217</f>
        <v>0</v>
      </c>
    </row>
    <row r="92" spans="1:69" s="116" customFormat="1" ht="14" collapsed="1">
      <c r="A92" s="89" t="s">
        <v>364</v>
      </c>
      <c r="B92" s="634"/>
      <c r="C92" s="607">
        <f t="shared" si="92"/>
        <v>-4613265.5625561522</v>
      </c>
      <c r="D92" s="89">
        <f>SUM(D78:D91)</f>
        <v>0</v>
      </c>
      <c r="E92" s="89">
        <f t="shared" ref="E92:BP92" si="95">SUM(E78:E91)</f>
        <v>-34867.405704000004</v>
      </c>
      <c r="F92" s="89">
        <f t="shared" si="95"/>
        <v>-75244.44445499999</v>
      </c>
      <c r="G92" s="89">
        <f t="shared" si="95"/>
        <v>-75244.44445499999</v>
      </c>
      <c r="H92" s="89">
        <f t="shared" si="95"/>
        <v>-91152.849985538662</v>
      </c>
      <c r="I92" s="89">
        <f t="shared" si="95"/>
        <v>-91152.849985538662</v>
      </c>
      <c r="J92" s="89">
        <f t="shared" si="95"/>
        <v>-57151.133142591301</v>
      </c>
      <c r="K92" s="89">
        <f t="shared" si="95"/>
        <v>-121958.32237646784</v>
      </c>
      <c r="L92" s="89">
        <f t="shared" si="95"/>
        <v>-190980.07474251403</v>
      </c>
      <c r="M92" s="89">
        <f t="shared" si="95"/>
        <v>-81385.42355775804</v>
      </c>
      <c r="N92" s="89">
        <f t="shared" si="95"/>
        <v>-71980.324407990571</v>
      </c>
      <c r="O92" s="89">
        <f t="shared" si="95"/>
        <v>-153743.13857981755</v>
      </c>
      <c r="P92" s="89">
        <f t="shared" si="95"/>
        <v>-71441.364157286473</v>
      </c>
      <c r="Q92" s="89">
        <f t="shared" si="95"/>
        <v>-63146.531543139223</v>
      </c>
      <c r="R92" s="89">
        <f t="shared" si="95"/>
        <v>-64028.62366558332</v>
      </c>
      <c r="S92" s="89">
        <f t="shared" si="95"/>
        <v>-64703.185910906257</v>
      </c>
      <c r="T92" s="89">
        <f t="shared" si="95"/>
        <v>-59095.85002205622</v>
      </c>
      <c r="U92" s="89">
        <f t="shared" si="95"/>
        <v>-59817.839310048024</v>
      </c>
      <c r="V92" s="89">
        <f t="shared" si="95"/>
        <v>-60568.228678151092</v>
      </c>
      <c r="W92" s="89">
        <f t="shared" si="95"/>
        <v>-58012.302290722422</v>
      </c>
      <c r="X92" s="89">
        <f t="shared" si="95"/>
        <v>-58689.369131539584</v>
      </c>
      <c r="Y92" s="89">
        <f t="shared" si="95"/>
        <v>-59256.721259592647</v>
      </c>
      <c r="Z92" s="89">
        <f t="shared" si="95"/>
        <v>-60115.996759817688</v>
      </c>
      <c r="AA92" s="89">
        <f t="shared" si="95"/>
        <v>-60770.527256415749</v>
      </c>
      <c r="AB92" s="89">
        <f t="shared" si="95"/>
        <v>-61462.719710918231</v>
      </c>
      <c r="AC92" s="89">
        <f t="shared" si="95"/>
        <v>-62460.711096431551</v>
      </c>
      <c r="AD92" s="89">
        <f t="shared" si="95"/>
        <v>-63275.897029035637</v>
      </c>
      <c r="AE92" s="89">
        <f t="shared" si="95"/>
        <v>-64150.115458597596</v>
      </c>
      <c r="AF92" s="89">
        <f t="shared" si="95"/>
        <v>-65356.941425353289</v>
      </c>
      <c r="AG92" s="89">
        <f t="shared" si="95"/>
        <v>-66423.590614164335</v>
      </c>
      <c r="AH92" s="89">
        <f t="shared" si="95"/>
        <v>-67596.683718802989</v>
      </c>
      <c r="AI92" s="89">
        <f t="shared" si="95"/>
        <v>-65206.549930066743</v>
      </c>
      <c r="AJ92" s="89">
        <f t="shared" si="95"/>
        <v>-66363.07978136903</v>
      </c>
      <c r="AK92" s="89">
        <f t="shared" si="95"/>
        <v>-67715.999660094836</v>
      </c>
      <c r="AL92" s="89">
        <f t="shared" si="95"/>
        <v>-69572.710289967887</v>
      </c>
      <c r="AM92" s="89">
        <f t="shared" si="95"/>
        <v>-87907.621217269465</v>
      </c>
      <c r="AN92" s="89">
        <f t="shared" si="95"/>
        <v>-162555.60304354184</v>
      </c>
      <c r="AO92" s="89">
        <f t="shared" si="95"/>
        <v>-149880.90740139154</v>
      </c>
      <c r="AP92" s="89">
        <f t="shared" si="95"/>
        <v>-150971.77029910515</v>
      </c>
      <c r="AQ92" s="89">
        <f t="shared" si="95"/>
        <v>-71200.330843305928</v>
      </c>
      <c r="AR92" s="89">
        <f t="shared" si="95"/>
        <v>-72827.219378902475</v>
      </c>
      <c r="AS92" s="89">
        <f t="shared" si="95"/>
        <v>-87008.352352906819</v>
      </c>
      <c r="AT92" s="89">
        <f t="shared" si="95"/>
        <v>-168235.08329301095</v>
      </c>
      <c r="AU92" s="89">
        <f t="shared" si="95"/>
        <v>-153186.30283934632</v>
      </c>
      <c r="AV92" s="89">
        <f t="shared" si="95"/>
        <v>-147361.3244493024</v>
      </c>
      <c r="AW92" s="89">
        <f t="shared" si="95"/>
        <v>-48702.791859743709</v>
      </c>
      <c r="AX92" s="89">
        <f t="shared" si="95"/>
        <v>-39906.875730850887</v>
      </c>
      <c r="AY92" s="89">
        <f t="shared" si="95"/>
        <v>-53143.893440250889</v>
      </c>
      <c r="AZ92" s="89">
        <f t="shared" si="95"/>
        <v>-132050.34128358951</v>
      </c>
      <c r="BA92" s="89">
        <f t="shared" si="95"/>
        <v>-120879.25783127279</v>
      </c>
      <c r="BB92" s="89">
        <f t="shared" si="95"/>
        <v>-120879.25783127279</v>
      </c>
      <c r="BC92" s="89">
        <f t="shared" si="95"/>
        <v>-31522.532848934155</v>
      </c>
      <c r="BD92" s="89">
        <f t="shared" si="95"/>
        <v>-31522.532848934155</v>
      </c>
      <c r="BE92" s="89">
        <f t="shared" si="95"/>
        <v>-44759.550558334158</v>
      </c>
      <c r="BF92" s="89">
        <f t="shared" si="95"/>
        <v>-85454.501970443569</v>
      </c>
      <c r="BG92" s="89">
        <f t="shared" si="95"/>
        <v>-79310.889342119015</v>
      </c>
      <c r="BH92" s="89">
        <f t="shared" si="95"/>
        <v>-62906.671800048091</v>
      </c>
      <c r="BI92" s="89">
        <f t="shared" si="95"/>
        <v>-7000</v>
      </c>
      <c r="BJ92" s="89">
        <f t="shared" si="95"/>
        <v>0</v>
      </c>
      <c r="BK92" s="89">
        <f t="shared" si="95"/>
        <v>0</v>
      </c>
      <c r="BL92" s="89">
        <f t="shared" si="95"/>
        <v>0</v>
      </c>
      <c r="BM92" s="89">
        <f t="shared" si="95"/>
        <v>0</v>
      </c>
      <c r="BN92" s="89">
        <f t="shared" si="95"/>
        <v>0</v>
      </c>
      <c r="BO92" s="89">
        <f t="shared" si="95"/>
        <v>0</v>
      </c>
      <c r="BP92" s="89">
        <f t="shared" si="95"/>
        <v>0</v>
      </c>
      <c r="BQ92" s="89">
        <f t="shared" ref="BQ92" si="96">SUM(BQ78:BQ91)</f>
        <v>0</v>
      </c>
    </row>
    <row r="93" spans="1:69" s="70" customFormat="1" ht="14">
      <c r="A93" s="74"/>
      <c r="C93" s="636">
        <f>+C92/(C69+C75)</f>
        <v>0.31307391188116329</v>
      </c>
    </row>
    <row r="94" spans="1:69" s="632" customFormat="1" thickBot="1">
      <c r="A94" s="631" t="s">
        <v>64</v>
      </c>
      <c r="B94" s="631"/>
      <c r="C94" s="631">
        <f>SUM(D94:BQ94)</f>
        <v>-21281053.557156142</v>
      </c>
      <c r="D94" s="631">
        <f t="shared" ref="D94:AI94" si="97">+D92+D75+D69+D53</f>
        <v>-1932400</v>
      </c>
      <c r="E94" s="631">
        <f t="shared" si="97"/>
        <v>-34867.405704000004</v>
      </c>
      <c r="F94" s="631">
        <f t="shared" si="97"/>
        <v>-75244.44445499999</v>
      </c>
      <c r="G94" s="631">
        <f t="shared" si="97"/>
        <v>-75244.44445499999</v>
      </c>
      <c r="H94" s="631">
        <f t="shared" si="97"/>
        <v>-91152.849985538662</v>
      </c>
      <c r="I94" s="631">
        <f t="shared" si="97"/>
        <v>-91152.849985538662</v>
      </c>
      <c r="J94" s="631">
        <f t="shared" si="97"/>
        <v>-57151.133142591301</v>
      </c>
      <c r="K94" s="631">
        <f t="shared" si="97"/>
        <v>-121958.32237646784</v>
      </c>
      <c r="L94" s="631">
        <f t="shared" si="97"/>
        <v>-190980.07474251403</v>
      </c>
      <c r="M94" s="631">
        <f t="shared" si="97"/>
        <v>-81385.42355775804</v>
      </c>
      <c r="N94" s="631">
        <f t="shared" si="97"/>
        <v>-216122.82290799054</v>
      </c>
      <c r="O94" s="631">
        <f t="shared" si="97"/>
        <v>-309417.03695981752</v>
      </c>
      <c r="P94" s="631">
        <f t="shared" si="97"/>
        <v>-223615.01403728646</v>
      </c>
      <c r="Q94" s="631">
        <f t="shared" si="97"/>
        <v>-215320.18142313923</v>
      </c>
      <c r="R94" s="631">
        <f t="shared" si="97"/>
        <v>-216202.2735455833</v>
      </c>
      <c r="S94" s="631">
        <f t="shared" si="97"/>
        <v>-210749.65274990626</v>
      </c>
      <c r="T94" s="631">
        <f t="shared" si="97"/>
        <v>-223208.79732980623</v>
      </c>
      <c r="U94" s="631">
        <f t="shared" si="97"/>
        <v>-171676.14208654803</v>
      </c>
      <c r="V94" s="631">
        <f t="shared" si="97"/>
        <v>-190493.01192340109</v>
      </c>
      <c r="W94" s="631">
        <f t="shared" si="97"/>
        <v>-206003.56600472244</v>
      </c>
      <c r="X94" s="631">
        <f t="shared" si="97"/>
        <v>-224747.1133142896</v>
      </c>
      <c r="Y94" s="631">
        <f t="shared" si="97"/>
        <v>-314040.95841109264</v>
      </c>
      <c r="Z94" s="631">
        <f t="shared" si="97"/>
        <v>-350631.7175050677</v>
      </c>
      <c r="AA94" s="631">
        <f t="shared" si="97"/>
        <v>-387017.73159541574</v>
      </c>
      <c r="AB94" s="631">
        <f t="shared" si="97"/>
        <v>-423441.40764366824</v>
      </c>
      <c r="AC94" s="631">
        <f t="shared" si="97"/>
        <v>-442104.40215418156</v>
      </c>
      <c r="AD94" s="631">
        <f t="shared" si="97"/>
        <v>-460584.59121178562</v>
      </c>
      <c r="AE94" s="631">
        <f t="shared" si="97"/>
        <v>-549783.82526634762</v>
      </c>
      <c r="AF94" s="631">
        <f t="shared" si="97"/>
        <v>-586320.65748310334</v>
      </c>
      <c r="AG94" s="631">
        <f t="shared" si="97"/>
        <v>-604650.83245316427</v>
      </c>
      <c r="AH94" s="631">
        <f t="shared" si="97"/>
        <v>-735285.20133905299</v>
      </c>
      <c r="AI94" s="631">
        <f t="shared" si="97"/>
        <v>-732493.59020656673</v>
      </c>
      <c r="AJ94" s="631">
        <f t="shared" ref="AJ94:BQ94" si="98">+AJ92+AJ75+AJ69+AJ53</f>
        <v>-733248.64271411917</v>
      </c>
      <c r="AK94" s="631">
        <f t="shared" si="98"/>
        <v>-744767.04335009481</v>
      </c>
      <c r="AL94" s="631">
        <f t="shared" si="98"/>
        <v>-792617.78991746786</v>
      </c>
      <c r="AM94" s="631">
        <f t="shared" si="98"/>
        <v>-747627.23365726951</v>
      </c>
      <c r="AN94" s="631">
        <f t="shared" si="98"/>
        <v>-678660.59595229197</v>
      </c>
      <c r="AO94" s="631">
        <f t="shared" si="98"/>
        <v>-648660.78546639159</v>
      </c>
      <c r="AP94" s="631">
        <f t="shared" si="98"/>
        <v>-642926.53352035524</v>
      </c>
      <c r="AQ94" s="631">
        <f t="shared" si="98"/>
        <v>-556329.97922080592</v>
      </c>
      <c r="AR94" s="631">
        <f t="shared" si="98"/>
        <v>-585897.25291265256</v>
      </c>
      <c r="AS94" s="631">
        <f t="shared" si="98"/>
        <v>-580838.26791790687</v>
      </c>
      <c r="AT94" s="631">
        <f t="shared" si="98"/>
        <v>-514484.36526426103</v>
      </c>
      <c r="AU94" s="631">
        <f t="shared" si="98"/>
        <v>-476520.58168559638</v>
      </c>
      <c r="AV94" s="631">
        <f t="shared" si="98"/>
        <v>-453030.6001705525</v>
      </c>
      <c r="AW94" s="631">
        <f t="shared" si="98"/>
        <v>-336707.06445599376</v>
      </c>
      <c r="AX94" s="631">
        <f t="shared" si="98"/>
        <v>-345011.64520210098</v>
      </c>
      <c r="AY94" s="631">
        <f t="shared" si="98"/>
        <v>-340243.77150525094</v>
      </c>
      <c r="AZ94" s="631">
        <f t="shared" si="98"/>
        <v>-257054.81231733953</v>
      </c>
      <c r="BA94" s="631">
        <f t="shared" si="98"/>
        <v>-235043.84058377281</v>
      </c>
      <c r="BB94" s="631">
        <f t="shared" si="98"/>
        <v>-224203.95230252278</v>
      </c>
      <c r="BC94" s="631">
        <f t="shared" si="98"/>
        <v>-122854.19905093417</v>
      </c>
      <c r="BD94" s="631">
        <f t="shared" si="98"/>
        <v>-133347.68576968418</v>
      </c>
      <c r="BE94" s="631">
        <f t="shared" si="98"/>
        <v>-146244.81519783416</v>
      </c>
      <c r="BF94" s="631">
        <f t="shared" si="98"/>
        <v>-90067.061922443565</v>
      </c>
      <c r="BG94" s="631">
        <f t="shared" si="98"/>
        <v>-79310.889342119015</v>
      </c>
      <c r="BH94" s="631">
        <f t="shared" si="98"/>
        <v>-62906.671800048091</v>
      </c>
      <c r="BI94" s="631">
        <f t="shared" si="98"/>
        <v>-7000</v>
      </c>
      <c r="BJ94" s="631">
        <f t="shared" si="98"/>
        <v>0</v>
      </c>
      <c r="BK94" s="631">
        <f t="shared" si="98"/>
        <v>0</v>
      </c>
      <c r="BL94" s="631">
        <f t="shared" si="98"/>
        <v>0</v>
      </c>
      <c r="BM94" s="631">
        <f t="shared" si="98"/>
        <v>0</v>
      </c>
      <c r="BN94" s="631">
        <f t="shared" si="98"/>
        <v>0</v>
      </c>
      <c r="BO94" s="631">
        <f t="shared" si="98"/>
        <v>0</v>
      </c>
      <c r="BP94" s="631">
        <f t="shared" si="98"/>
        <v>0</v>
      </c>
      <c r="BQ94" s="631">
        <f t="shared" si="98"/>
        <v>0</v>
      </c>
    </row>
    <row r="95" spans="1:69" s="639" customFormat="1" thickTop="1">
      <c r="A95" s="637"/>
      <c r="B95" s="637"/>
      <c r="C95" s="638"/>
      <c r="D95" s="637"/>
      <c r="E95" s="637"/>
      <c r="F95" s="637"/>
      <c r="G95" s="637"/>
      <c r="H95" s="637"/>
      <c r="I95" s="637"/>
      <c r="J95" s="637"/>
      <c r="K95" s="637"/>
      <c r="L95" s="637"/>
      <c r="M95" s="637"/>
      <c r="N95" s="637"/>
      <c r="O95" s="637">
        <f>SUM(D94:O94)</f>
        <v>-3277076.8082722165</v>
      </c>
      <c r="P95" s="637"/>
      <c r="Q95" s="637"/>
      <c r="R95" s="637"/>
      <c r="S95" s="637"/>
      <c r="T95" s="637"/>
      <c r="U95" s="637"/>
      <c r="V95" s="637"/>
      <c r="W95" s="637"/>
      <c r="X95" s="637"/>
      <c r="Y95" s="637"/>
      <c r="Z95" s="637"/>
      <c r="AA95" s="637">
        <f>SUM(P94:AA94)</f>
        <v>-2933706.1599262585</v>
      </c>
      <c r="AB95" s="637"/>
      <c r="AC95" s="637"/>
      <c r="AD95" s="637"/>
      <c r="AE95" s="637"/>
      <c r="AF95" s="637"/>
      <c r="AG95" s="637"/>
      <c r="AH95" s="637"/>
      <c r="AI95" s="637"/>
      <c r="AJ95" s="637"/>
      <c r="AK95" s="637"/>
      <c r="AL95" s="637"/>
      <c r="AM95" s="637">
        <f>SUM(AB94:AM94)</f>
        <v>-7552925.2173968228</v>
      </c>
      <c r="AN95" s="637"/>
      <c r="AO95" s="637"/>
      <c r="AP95" s="637"/>
      <c r="AQ95" s="637"/>
      <c r="AR95" s="637"/>
      <c r="AS95" s="637"/>
      <c r="AT95" s="637"/>
      <c r="AU95" s="637"/>
      <c r="AV95" s="637"/>
      <c r="AW95" s="637"/>
      <c r="AX95" s="637"/>
      <c r="AY95" s="637">
        <f>SUM(AN94:AY94)</f>
        <v>-6159311.4432741599</v>
      </c>
      <c r="AZ95" s="637"/>
      <c r="BA95" s="637"/>
      <c r="BB95" s="637"/>
      <c r="BC95" s="637"/>
      <c r="BD95" s="637"/>
      <c r="BE95" s="637"/>
      <c r="BF95" s="637"/>
      <c r="BG95" s="637"/>
      <c r="BH95" s="637"/>
      <c r="BI95" s="637"/>
      <c r="BJ95" s="637"/>
      <c r="BK95" s="637">
        <f>SUM(AZ94:BK94)</f>
        <v>-1358033.9282866982</v>
      </c>
      <c r="BL95" s="637"/>
      <c r="BM95" s="637"/>
      <c r="BN95" s="637"/>
      <c r="BO95" s="637"/>
      <c r="BP95" s="637"/>
      <c r="BQ95" s="637"/>
    </row>
    <row r="96" spans="1:69" s="70" customFormat="1" ht="14">
      <c r="A96" s="68"/>
      <c r="B96" s="66"/>
      <c r="C96" s="128"/>
      <c r="D96" s="66"/>
      <c r="E96" s="66"/>
      <c r="F96" s="66"/>
      <c r="G96" s="66"/>
      <c r="H96" s="66"/>
      <c r="I96" s="66"/>
      <c r="J96" s="66"/>
      <c r="K96" s="66"/>
      <c r="L96" s="66"/>
      <c r="M96" s="66"/>
      <c r="N96" s="66"/>
      <c r="P96" s="66"/>
      <c r="Q96" s="66"/>
      <c r="R96" s="66"/>
      <c r="S96" s="66"/>
      <c r="T96" s="66"/>
      <c r="U96" s="66"/>
      <c r="V96" s="66"/>
      <c r="W96" s="66"/>
      <c r="X96" s="66"/>
      <c r="Y96" s="66"/>
      <c r="Z96" s="66"/>
      <c r="AA96" s="66"/>
      <c r="AB96" s="66"/>
      <c r="AC96" s="66"/>
      <c r="AD96" s="66"/>
      <c r="AE96" s="66"/>
      <c r="AF96" s="66"/>
      <c r="AG96" s="66"/>
      <c r="AH96" s="66"/>
      <c r="AI96" s="66"/>
      <c r="AJ96" s="66"/>
      <c r="AK96" s="66"/>
      <c r="AL96" s="66"/>
      <c r="AM96" s="66"/>
      <c r="AN96" s="66"/>
      <c r="AO96" s="66"/>
      <c r="AP96" s="66"/>
      <c r="AQ96" s="66"/>
      <c r="AR96" s="66"/>
      <c r="AS96" s="66"/>
      <c r="AT96" s="66"/>
      <c r="AU96" s="66"/>
      <c r="AV96" s="66"/>
      <c r="AW96" s="66"/>
      <c r="AX96" s="66"/>
      <c r="AY96" s="66"/>
      <c r="AZ96" s="66"/>
      <c r="BA96" s="66"/>
      <c r="BB96" s="66"/>
      <c r="BC96" s="66"/>
      <c r="BD96" s="66"/>
      <c r="BE96" s="66"/>
      <c r="BF96" s="66"/>
      <c r="BG96" s="66"/>
      <c r="BH96" s="66"/>
      <c r="BI96" s="66"/>
      <c r="BJ96" s="66"/>
      <c r="BK96" s="66"/>
      <c r="BL96" s="66"/>
      <c r="BM96" s="66"/>
      <c r="BN96" s="66"/>
      <c r="BO96" s="66"/>
      <c r="BP96" s="66"/>
      <c r="BQ96" s="66"/>
    </row>
    <row r="97" spans="1:86" s="623" customFormat="1" ht="14">
      <c r="A97" s="620" t="s">
        <v>265</v>
      </c>
      <c r="B97" s="620"/>
      <c r="C97" s="620"/>
      <c r="D97" s="620"/>
      <c r="E97" s="620"/>
      <c r="F97" s="620"/>
      <c r="G97" s="620"/>
      <c r="H97" s="620"/>
      <c r="I97" s="620"/>
      <c r="J97" s="620"/>
      <c r="K97" s="620"/>
      <c r="L97" s="620"/>
      <c r="M97" s="620"/>
      <c r="N97" s="620"/>
      <c r="O97" s="620"/>
      <c r="P97" s="620"/>
      <c r="Q97" s="620"/>
      <c r="R97" s="620"/>
      <c r="S97" s="620"/>
      <c r="T97" s="620"/>
      <c r="U97" s="620"/>
      <c r="V97" s="620"/>
      <c r="W97" s="620"/>
      <c r="X97" s="620"/>
      <c r="Y97" s="620"/>
      <c r="Z97" s="620"/>
      <c r="AA97" s="620"/>
      <c r="AB97" s="620"/>
      <c r="AC97" s="620"/>
      <c r="AD97" s="620"/>
      <c r="AE97" s="620"/>
      <c r="AF97" s="620"/>
      <c r="AG97" s="620"/>
      <c r="AH97" s="620"/>
      <c r="AI97" s="620"/>
      <c r="AJ97" s="620"/>
      <c r="AK97" s="620"/>
      <c r="AL97" s="620"/>
      <c r="AM97" s="620"/>
      <c r="AN97" s="620"/>
      <c r="AO97" s="620"/>
      <c r="AP97" s="620"/>
      <c r="AQ97" s="620"/>
      <c r="AR97" s="620"/>
      <c r="AS97" s="620"/>
      <c r="AT97" s="620"/>
      <c r="AU97" s="620"/>
      <c r="AV97" s="620"/>
      <c r="AW97" s="620"/>
      <c r="AX97" s="620"/>
      <c r="AY97" s="620"/>
      <c r="AZ97" s="620"/>
      <c r="BA97" s="620"/>
      <c r="BB97" s="620"/>
      <c r="BC97" s="620"/>
      <c r="BD97" s="620"/>
      <c r="BE97" s="620"/>
      <c r="BF97" s="620"/>
      <c r="BG97" s="620"/>
      <c r="BH97" s="620"/>
      <c r="BI97" s="620"/>
      <c r="BJ97" s="620"/>
      <c r="BK97" s="620"/>
      <c r="BL97" s="620"/>
      <c r="BM97" s="620"/>
      <c r="BN97" s="620"/>
      <c r="BO97" s="620"/>
      <c r="BP97" s="620"/>
      <c r="BQ97" s="620"/>
      <c r="BR97" s="620"/>
      <c r="BS97" s="620"/>
      <c r="BT97" s="620"/>
      <c r="BU97" s="620"/>
      <c r="BV97" s="620"/>
      <c r="BW97" s="620"/>
      <c r="BX97" s="620"/>
      <c r="BY97" s="620"/>
      <c r="BZ97" s="620"/>
      <c r="CA97" s="620"/>
      <c r="CB97" s="620"/>
      <c r="CC97" s="620"/>
      <c r="CD97" s="620"/>
      <c r="CE97" s="620"/>
      <c r="CF97" s="620"/>
      <c r="CG97" s="620"/>
      <c r="CH97" s="620"/>
    </row>
    <row r="98" spans="1:86" s="112" customFormat="1" ht="6" customHeight="1">
      <c r="A98" s="63"/>
      <c r="B98" s="101"/>
      <c r="C98" s="63"/>
      <c r="D98" s="63"/>
      <c r="E98" s="63"/>
      <c r="F98" s="63"/>
      <c r="G98" s="63"/>
      <c r="H98" s="63"/>
      <c r="I98" s="63"/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63"/>
      <c r="X98" s="63"/>
      <c r="Y98" s="63"/>
      <c r="Z98" s="63"/>
      <c r="AA98" s="63"/>
      <c r="AB98" s="63"/>
      <c r="AC98" s="63"/>
      <c r="AD98" s="63"/>
      <c r="AE98" s="63"/>
      <c r="AF98" s="63"/>
      <c r="AG98" s="63"/>
      <c r="AH98" s="63"/>
      <c r="AI98" s="63"/>
      <c r="AJ98" s="63"/>
      <c r="AK98" s="63"/>
      <c r="AL98" s="63"/>
      <c r="AM98" s="63"/>
      <c r="AN98" s="63"/>
      <c r="AO98" s="63"/>
      <c r="AP98" s="63"/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</row>
    <row r="99" spans="1:86" s="74" customFormat="1" ht="14">
      <c r="A99" s="107" t="s">
        <v>266</v>
      </c>
      <c r="B99" s="80"/>
      <c r="C99" s="72"/>
      <c r="D99" s="81"/>
      <c r="E99" s="81"/>
    </row>
    <row r="100" spans="1:86" s="74" customFormat="1" ht="14">
      <c r="A100" s="107" t="s">
        <v>199</v>
      </c>
      <c r="B100" s="131"/>
      <c r="C100" s="72"/>
      <c r="D100" s="81"/>
      <c r="E100" s="81"/>
    </row>
    <row r="101" spans="1:86" s="84" customFormat="1" ht="14" hidden="1" outlineLevel="1">
      <c r="A101" s="141" t="str">
        <f>+A36</f>
        <v xml:space="preserve">     Módulo 1</v>
      </c>
      <c r="B101" s="660"/>
      <c r="C101" s="610">
        <f>SUM(D101:BQ101)</f>
        <v>7940250.3829320977</v>
      </c>
      <c r="D101" s="82">
        <f>+D10*('Resid - Datos'!$F$25+'Resid - Datos'!$F$29)*'Resid - BCase Base CF'!D18*'Resid - Datos'!$O$7/(1+'Resid - Datos'!$O$13)</f>
        <v>0</v>
      </c>
      <c r="E101" s="82">
        <f>+E10*('Resid - Datos'!$F$25+'Resid - Datos'!$F$29)*'Resid - BCase Base CF'!E18*'Resid - Datos'!$O$7/(1+'Resid - Datos'!$O$13)</f>
        <v>0</v>
      </c>
      <c r="F101" s="82">
        <f>+F10*('Resid - Datos'!$F$25+'Resid - Datos'!$F$29)*'Resid - BCase Base CF'!F18*'Resid - Datos'!$O$7/(1+'Resid - Datos'!$O$13)</f>
        <v>0</v>
      </c>
      <c r="G101" s="82">
        <f>+G10*('Resid - Datos'!$F$25+'Resid - Datos'!$F$29)*'Resid - BCase Base CF'!G18*'Resid - Datos'!$O$7/(1+'Resid - Datos'!$O$13)</f>
        <v>0</v>
      </c>
      <c r="H101" s="82">
        <f>+H10*('Resid - Datos'!$F$25+'Resid - Datos'!$F$29)*'Resid - BCase Base CF'!H18*'Resid - Datos'!$O$7/(1+'Resid - Datos'!$O$13)</f>
        <v>0</v>
      </c>
      <c r="I101" s="82">
        <f>+I10*('Resid - Datos'!$F$25+'Resid - Datos'!$F$29)*'Resid - BCase Base CF'!I18*'Resid - Datos'!$O$7/(1+'Resid - Datos'!$O$13)</f>
        <v>0</v>
      </c>
      <c r="J101" s="82">
        <f>+J10*('Resid - Datos'!$F$25+'Resid - Datos'!$F$29)*'Resid - BCase Base CF'!J18*'Resid - Datos'!$O$7/(1+'Resid - Datos'!$O$13)</f>
        <v>730466.511904157</v>
      </c>
      <c r="K101" s="82">
        <f>+K10*('Resid - Datos'!$F$25+'Resid - Datos'!$F$29)*'Resid - BCase Base CF'!K18*'Resid - Datos'!$O$7/(1+'Resid - Datos'!$O$13)</f>
        <v>553804.77397081465</v>
      </c>
      <c r="L101" s="82">
        <f>+L10*('Resid - Datos'!$F$25+'Resid - Datos'!$F$29)*'Resid - BCase Base CF'!L18*'Resid - Datos'!$O$7/(1+'Resid - Datos'!$O$13)</f>
        <v>485125.04214504332</v>
      </c>
      <c r="M101" s="82">
        <f>+M10*('Resid - Datos'!$F$25+'Resid - Datos'!$F$29)*'Resid - BCase Base CF'!M18*'Resid - Datos'!$O$7/(1+'Resid - Datos'!$O$13)</f>
        <v>377143.03603747237</v>
      </c>
      <c r="N101" s="82">
        <f>+N10*('Resid - Datos'!$F$25+'Resid - Datos'!$F$29)*'Resid - BCase Base CF'!N18*'Resid - Datos'!$O$7/(1+'Resid - Datos'!$O$13)</f>
        <v>383097.92608016927</v>
      </c>
      <c r="O101" s="82">
        <f>+O10*('Resid - Datos'!$F$25+'Resid - Datos'!$F$29)*'Resid - BCase Base CF'!O18*'Resid - Datos'!$O$7/(1+'Resid - Datos'!$O$13)</f>
        <v>389052.81612286624</v>
      </c>
      <c r="P101" s="82">
        <f>+P10*('Resid - Datos'!$F$25+'Resid - Datos'!$F$29)*'Resid - BCase Base CF'!P18*'Resid - Datos'!$O$7/(1+'Resid - Datos'!$O$13)</f>
        <v>275115.91997259826</v>
      </c>
      <c r="Q101" s="82">
        <f>+Q10*('Resid - Datos'!$F$25+'Resid - Datos'!$F$29)*'Resid - BCase Base CF'!Q18*'Resid - Datos'!$O$7/(1+'Resid - Datos'!$O$13)</f>
        <v>277894.86865919019</v>
      </c>
      <c r="R101" s="82">
        <f>+R10*('Resid - Datos'!$F$25+'Resid - Datos'!$F$29)*'Resid - BCase Base CF'!R18*'Resid - Datos'!$O$7/(1+'Resid - Datos'!$O$13)</f>
        <v>277894.86865919019</v>
      </c>
      <c r="S101" s="82">
        <f>+S10*('Resid - Datos'!$F$25+'Resid - Datos'!$F$29)*'Resid - BCase Base CF'!S18*'Resid - Datos'!$O$7/(1+'Resid - Datos'!$O$13)</f>
        <v>200481.29810413002</v>
      </c>
      <c r="T101" s="82">
        <f>+T10*('Resid - Datos'!$F$25+'Resid - Datos'!$F$29)*'Resid - BCase Base CF'!T18*'Resid - Datos'!$O$7/(1+'Resid - Datos'!$O$13)</f>
        <v>202466.2614516957</v>
      </c>
      <c r="U101" s="82">
        <f>+U10*('Resid - Datos'!$F$25+'Resid - Datos'!$F$29)*'Resid - BCase Base CF'!U18*'Resid - Datos'!$O$7/(1+'Resid - Datos'!$O$13)</f>
        <v>204451.22479926131</v>
      </c>
      <c r="V101" s="82">
        <f>+V10*('Resid - Datos'!$F$25+'Resid - Datos'!$F$29)*'Resid - BCase Base CF'!V18*'Resid - Datos'!$O$7/(1+'Resid - Datos'!$O$13)</f>
        <v>165148.95051746158</v>
      </c>
      <c r="W101" s="82">
        <f>+W10*('Resid - Datos'!$F$25+'Resid - Datos'!$F$29)*'Resid - BCase Base CF'!W18*'Resid - Datos'!$O$7/(1+'Resid - Datos'!$O$13)</f>
        <v>166736.92119551409</v>
      </c>
      <c r="X101" s="82">
        <f>+X10*('Resid - Datos'!$F$25+'Resid - Datos'!$F$29)*'Resid - BCase Base CF'!X18*'Resid - Datos'!$O$7/(1+'Resid - Datos'!$O$13)</f>
        <v>166736.92119551409</v>
      </c>
      <c r="Y101" s="82">
        <f>+Y10*('Resid - Datos'!$F$25+'Resid - Datos'!$F$29)*'Resid - BCase Base CF'!Y18*'Resid - Datos'!$O$7/(1+'Resid - Datos'!$O$13)</f>
        <v>166736.92119551409</v>
      </c>
      <c r="Z101" s="82">
        <f>+Z10*('Resid - Datos'!$F$25+'Resid - Datos'!$F$29)*'Resid - BCase Base CF'!Z18*'Resid - Datos'!$O$7/(1+'Resid - Datos'!$O$13)</f>
        <v>166736.92119551409</v>
      </c>
      <c r="AA101" s="82">
        <f>+AA10*('Resid - Datos'!$F$25+'Resid - Datos'!$F$29)*'Resid - BCase Base CF'!AA18*'Resid - Datos'!$O$7/(1+'Resid - Datos'!$O$13)</f>
        <v>166736.92119551409</v>
      </c>
      <c r="AB101" s="82">
        <f>+AB10*('Resid - Datos'!$F$25+'Resid - Datos'!$F$29)*'Resid - BCase Base CF'!AB18*'Resid - Datos'!$O$7/(1+'Resid - Datos'!$O$13)</f>
        <v>166736.92119551409</v>
      </c>
      <c r="AC101" s="82">
        <f>+AC10*('Resid - Datos'!$F$25+'Resid - Datos'!$F$29)*'Resid - BCase Base CF'!AC18*'Resid - Datos'!$O$7/(1+'Resid - Datos'!$O$13)</f>
        <v>166736.92119551409</v>
      </c>
      <c r="AD101" s="82">
        <f>+AD10*('Resid - Datos'!$F$25+'Resid - Datos'!$F$29)*'Resid - BCase Base CF'!AD18*'Resid - Datos'!$O$7/(1+'Resid - Datos'!$O$13)</f>
        <v>166736.92119551409</v>
      </c>
      <c r="AE101" s="82">
        <f>+AE10*('Resid - Datos'!$F$25+'Resid - Datos'!$F$29)*'Resid - BCase Base CF'!AE18*'Resid - Datos'!$O$7/(1+'Resid - Datos'!$O$13)</f>
        <v>166736.92119551409</v>
      </c>
      <c r="AF101" s="82">
        <f>+AF10*('Resid - Datos'!$F$25+'Resid - Datos'!$F$29)*'Resid - BCase Base CF'!AF18*'Resid - Datos'!$O$7/(1+'Resid - Datos'!$O$13)</f>
        <v>166736.92119551409</v>
      </c>
      <c r="AG101" s="82">
        <f>+AG10*('Resid - Datos'!$F$25+'Resid - Datos'!$F$29)*'Resid - BCase Base CF'!AG18*'Resid - Datos'!$O$7/(1+'Resid - Datos'!$O$13)</f>
        <v>166736.92119551409</v>
      </c>
      <c r="AH101" s="82">
        <f>+AH10*('Resid - Datos'!$F$25+'Resid - Datos'!$F$29)*'Resid - BCase Base CF'!AH18*'Resid - Datos'!$O$7/(1+'Resid - Datos'!$O$13)</f>
        <v>125052.69089663554</v>
      </c>
      <c r="AI101" s="82">
        <f>+AI10*('Resid - Datos'!$F$25+'Resid - Datos'!$F$29)*'Resid - BCase Base CF'!AI18*'Resid - Datos'!$O$7/(1+'Resid - Datos'!$O$13)</f>
        <v>125052.69089663554</v>
      </c>
      <c r="AJ101" s="82">
        <f>+AJ10*('Resid - Datos'!$F$25+'Resid - Datos'!$F$29)*'Resid - BCase Base CF'!AJ18*'Resid - Datos'!$O$7/(1+'Resid - Datos'!$O$13)</f>
        <v>125052.69089663554</v>
      </c>
      <c r="AK101" s="82">
        <f>+AK10*('Resid - Datos'!$F$25+'Resid - Datos'!$F$29)*'Resid - BCase Base CF'!AK18*'Resid - Datos'!$O$7/(1+'Resid - Datos'!$O$13)</f>
        <v>125052.69089663554</v>
      </c>
      <c r="AL101" s="82">
        <f>+AL10*('Resid - Datos'!$F$25+'Resid - Datos'!$F$29)*'Resid - BCase Base CF'!AL18*'Resid - Datos'!$O$7/(1+'Resid - Datos'!$O$13)</f>
        <v>125052.69089663554</v>
      </c>
      <c r="AM101" s="82">
        <f>+AM10*('Resid - Datos'!$F$25+'Resid - Datos'!$F$29)*'Resid - BCase Base CF'!AM18*'Resid - Datos'!$O$7/(1+'Resid - Datos'!$O$13)</f>
        <v>125052.69089663554</v>
      </c>
      <c r="AN101" s="82">
        <f>+AN10*('Resid - Datos'!$F$25+'Resid - Datos'!$F$29)*'Resid - BCase Base CF'!AN18*'Resid - Datos'!$O$7/(1+'Resid - Datos'!$O$13)</f>
        <v>125052.69089663554</v>
      </c>
      <c r="AO101" s="82">
        <f>+AO10*('Resid - Datos'!$F$25+'Resid - Datos'!$F$29)*'Resid - BCase Base CF'!AO18*'Resid - Datos'!$O$7/(1+'Resid - Datos'!$O$13)</f>
        <v>125052.69089663554</v>
      </c>
      <c r="AP101" s="82">
        <f>+AP10*('Resid - Datos'!$F$25+'Resid - Datos'!$F$29)*'Resid - BCase Base CF'!AP18*'Resid - Datos'!$O$7/(1+'Resid - Datos'!$O$13)</f>
        <v>125052.69089663554</v>
      </c>
      <c r="AQ101" s="82">
        <f>+AQ10*('Resid - Datos'!$F$25+'Resid - Datos'!$F$29)*'Resid - BCase Base CF'!AQ18*'Resid - Datos'!$O$7/(1+'Resid - Datos'!$O$13)</f>
        <v>125052.69089663554</v>
      </c>
      <c r="AR101" s="82">
        <f>+AR10*('Resid - Datos'!$F$25+'Resid - Datos'!$F$29)*'Resid - BCase Base CF'!AR18*'Resid - Datos'!$O$7/(1+'Resid - Datos'!$O$13)</f>
        <v>83368.460597757046</v>
      </c>
      <c r="AS101" s="82">
        <f>+AS10*('Resid - Datos'!$F$25+'Resid - Datos'!$F$29)*'Resid - BCase Base CF'!AS18*'Resid - Datos'!$O$7/(1+'Resid - Datos'!$O$13)</f>
        <v>83368.460597757046</v>
      </c>
      <c r="AT101" s="82">
        <f>+AT10*('Resid - Datos'!$F$25+'Resid - Datos'!$F$29)*'Resid - BCase Base CF'!AT18*'Resid - Datos'!$O$7/(1+'Resid - Datos'!$O$13)</f>
        <v>83368.460597757046</v>
      </c>
      <c r="AU101" s="82">
        <f>+AU10*('Resid - Datos'!$F$25+'Resid - Datos'!$F$29)*'Resid - BCase Base CF'!AU18*'Resid - Datos'!$O$7/(1+'Resid - Datos'!$O$13)</f>
        <v>83368.460597757046</v>
      </c>
      <c r="AV101" s="82">
        <f>+AV10*('Resid - Datos'!$F$25+'Resid - Datos'!$F$29)*'Resid - BCase Base CF'!AV18*'Resid - Datos'!$O$7/(1+'Resid - Datos'!$O$13)</f>
        <v>0</v>
      </c>
      <c r="AW101" s="82">
        <f>+AW10*('Resid - Datos'!$F$25+'Resid - Datos'!$F$29)*'Resid - BCase Base CF'!AW18*'Resid - Datos'!$O$7/(1+'Resid - Datos'!$O$13)</f>
        <v>0</v>
      </c>
      <c r="AX101" s="82">
        <f>+AX10*('Resid - Datos'!$F$25+'Resid - Datos'!$F$29)*'Resid - BCase Base CF'!AX18*'Resid - Datos'!$O$7/(1+'Resid - Datos'!$O$13)</f>
        <v>0</v>
      </c>
      <c r="AY101" s="82">
        <f>+AY10*('Resid - Datos'!$F$25+'Resid - Datos'!$F$29)*'Resid - BCase Base CF'!AY18*'Resid - Datos'!$O$7/(1+'Resid - Datos'!$O$13)</f>
        <v>0</v>
      </c>
      <c r="AZ101" s="82">
        <f>+AZ10*('Resid - Datos'!$F$25+'Resid - Datos'!$F$29)*'Resid - BCase Base CF'!AZ18*'Resid - Datos'!$O$7/(1+'Resid - Datos'!$O$13)</f>
        <v>0</v>
      </c>
      <c r="BA101" s="82">
        <f>+BA10*('Resid - Datos'!$F$25+'Resid - Datos'!$F$29)*'Resid - BCase Base CF'!BA18*'Resid - Datos'!$O$7/(1+'Resid - Datos'!$O$13)</f>
        <v>0</v>
      </c>
      <c r="BB101" s="82">
        <f>+BB10*('Resid - Datos'!$F$25+'Resid - Datos'!$F$29)*'Resid - BCase Base CF'!BB18*'Resid - Datos'!$O$7/(1+'Resid - Datos'!$O$13)</f>
        <v>0</v>
      </c>
      <c r="BC101" s="82">
        <f>+BC10*('Resid - Datos'!$F$25+'Resid - Datos'!$F$29)*'Resid - BCase Base CF'!BC18*'Resid - Datos'!$O$7/(1+'Resid - Datos'!$O$13)</f>
        <v>0</v>
      </c>
      <c r="BD101" s="82">
        <f>+BD10*('Resid - Datos'!$F$25+'Resid - Datos'!$F$29)*'Resid - BCase Base CF'!BD18*'Resid - Datos'!$O$7/(1+'Resid - Datos'!$O$13)</f>
        <v>0</v>
      </c>
      <c r="BE101" s="82">
        <f>+BE10*('Resid - Datos'!$F$25+'Resid - Datos'!$F$29)*'Resid - BCase Base CF'!BE18*'Resid - Datos'!$O$7/(1+'Resid - Datos'!$O$13)</f>
        <v>0</v>
      </c>
      <c r="BF101" s="82">
        <f>+BF10*('Resid - Datos'!$F$25+'Resid - Datos'!$F$29)*'Resid - BCase Base CF'!BF18*'Resid - Datos'!$O$7/(1+'Resid - Datos'!$O$13)</f>
        <v>0</v>
      </c>
      <c r="BG101" s="82">
        <f>+BG10*('Resid - Datos'!$F$25+'Resid - Datos'!$F$29)*'Resid - BCase Base CF'!BG18*'Resid - Datos'!$O$7/(1+'Resid - Datos'!$O$13)</f>
        <v>0</v>
      </c>
      <c r="BH101" s="82">
        <f>+BH10*('Resid - Datos'!$F$25+'Resid - Datos'!$F$29)*'Resid - BCase Base CF'!BH18*'Resid - Datos'!$O$7/(1+'Resid - Datos'!$O$13)</f>
        <v>0</v>
      </c>
      <c r="BI101" s="82">
        <f>+BI10*('Resid - Datos'!$F$25+'Resid - Datos'!$F$29)*'Resid - BCase Base CF'!BI18*'Resid - Datos'!$O$7/(1+'Resid - Datos'!$O$13)</f>
        <v>0</v>
      </c>
      <c r="BJ101" s="82">
        <f>+BJ10*('Resid - Datos'!$F$25+'Resid - Datos'!$F$29)*'Resid - BCase Base CF'!BJ18*'Resid - Datos'!$O$7/(1+'Resid - Datos'!$O$13)</f>
        <v>0</v>
      </c>
      <c r="BK101" s="82">
        <f>+BK10*('Resid - Datos'!$F$25+'Resid - Datos'!$F$29)*'Resid - BCase Base CF'!BK18*'Resid - Datos'!$O$7/(1+'Resid - Datos'!$O$13)</f>
        <v>0</v>
      </c>
      <c r="BL101" s="82">
        <f>+BL10*('Resid - Datos'!$F$25+'Resid - Datos'!$F$29)*'Resid - BCase Base CF'!BL18*'Resid - Datos'!$O$7/(1+'Resid - Datos'!$O$13)</f>
        <v>0</v>
      </c>
      <c r="BM101" s="82">
        <f>+BM10*('Resid - Datos'!$F$25+'Resid - Datos'!$F$29)*'Resid - BCase Base CF'!BM18*'Resid - Datos'!$O$7/(1+'Resid - Datos'!$O$13)</f>
        <v>0</v>
      </c>
      <c r="BN101" s="82">
        <f>+BN10*('Resid - Datos'!$F$25+'Resid - Datos'!$F$29)*'Resid - BCase Base CF'!BN18*'Resid - Datos'!$O$7/(1+'Resid - Datos'!$O$13)</f>
        <v>0</v>
      </c>
      <c r="BO101" s="82">
        <f>+BO10*('Resid - Datos'!$F$25+'Resid - Datos'!$F$29)*'Resid - BCase Base CF'!BO18*'Resid - Datos'!$O$7/(1+'Resid - Datos'!$O$13)</f>
        <v>0</v>
      </c>
      <c r="BP101" s="82">
        <f>+BP10*('Resid - Datos'!$F$25+'Resid - Datos'!$F$29)*'Resid - BCase Base CF'!BP18*'Resid - Datos'!$O$7/(1+'Resid - Datos'!$O$13)</f>
        <v>0</v>
      </c>
      <c r="BQ101" s="82">
        <f>+BQ10*('Resid - Datos'!$F$25+'Resid - Datos'!$F$29)*'Resid - BCase Base CF'!BQ18*'Resid - Datos'!$O$7/(1+'Resid - Datos'!$O$13)</f>
        <v>0</v>
      </c>
    </row>
    <row r="102" spans="1:86" s="84" customFormat="1" ht="14" hidden="1" outlineLevel="1">
      <c r="A102" s="142" t="str">
        <f>+A37</f>
        <v xml:space="preserve">     Módulo 2</v>
      </c>
      <c r="B102" s="661"/>
      <c r="C102" s="633">
        <f>SUM(D102:BQ102)</f>
        <v>8320796.9450633861</v>
      </c>
      <c r="D102" s="84">
        <f>+D11*('Resid - Datos'!$F$26+'Resid - Datos'!$F$30)*'Resid - BCase Base CF'!D18*'Resid - Datos'!$O$7/(1+'Resid - Datos'!$O$13)</f>
        <v>0</v>
      </c>
      <c r="E102" s="84">
        <f>+E11*('Resid - Datos'!$F$26+'Resid - Datos'!$F$30)*'Resid - BCase Base CF'!E18*'Resid - Datos'!$O$7/(1+'Resid - Datos'!$O$13)</f>
        <v>0</v>
      </c>
      <c r="F102" s="84">
        <f>+F11*('Resid - Datos'!$F$26+'Resid - Datos'!$F$30)*'Resid - BCase Base CF'!F18*'Resid - Datos'!$O$7/(1+'Resid - Datos'!$O$13)</f>
        <v>0</v>
      </c>
      <c r="G102" s="84">
        <f>+G11*('Resid - Datos'!$F$26+'Resid - Datos'!$F$30)*'Resid - BCase Base CF'!G18*'Resid - Datos'!$O$7/(1+'Resid - Datos'!$O$13)</f>
        <v>0</v>
      </c>
      <c r="H102" s="84">
        <f>+H11*('Resid - Datos'!$F$26+'Resid - Datos'!$F$30)*'Resid - BCase Base CF'!H18*'Resid - Datos'!$O$7/(1+'Resid - Datos'!$O$13)</f>
        <v>0</v>
      </c>
      <c r="I102" s="84">
        <f>+I11*('Resid - Datos'!$F$26+'Resid - Datos'!$F$30)*'Resid - BCase Base CF'!I18*'Resid - Datos'!$O$7/(1+'Resid - Datos'!$O$13)</f>
        <v>0</v>
      </c>
      <c r="J102" s="84">
        <f>+J11*('Resid - Datos'!$F$26+'Resid - Datos'!$F$30)*'Resid - BCase Base CF'!J18*'Resid - Datos'!$O$7/(1+'Resid - Datos'!$O$13)</f>
        <v>765475.04519357276</v>
      </c>
      <c r="K102" s="84">
        <f>+K11*('Resid - Datos'!$F$26+'Resid - Datos'!$F$30)*'Resid - BCase Base CF'!K18*'Resid - Datos'!$O$7/(1+'Resid - Datos'!$O$13)</f>
        <v>580346.5695896924</v>
      </c>
      <c r="L102" s="84">
        <f>+L11*('Resid - Datos'!$F$26+'Resid - Datos'!$F$30)*'Resid - BCase Base CF'!L18*'Resid - Datos'!$O$7/(1+'Resid - Datos'!$O$13)</f>
        <v>508375.27457964455</v>
      </c>
      <c r="M102" s="84">
        <f>+M11*('Resid - Datos'!$F$26+'Resid - Datos'!$F$30)*'Resid - BCase Base CF'!M18*'Resid - Datos'!$O$7/(1+'Resid - Datos'!$O$13)</f>
        <v>395218.0939858121</v>
      </c>
      <c r="N102" s="84">
        <f>+N11*('Resid - Datos'!$F$26+'Resid - Datos'!$F$30)*'Resid - BCase Base CF'!N18*'Resid - Datos'!$O$7/(1+'Resid - Datos'!$O$13)</f>
        <v>401458.37968032487</v>
      </c>
      <c r="O102" s="84">
        <f>+O11*('Resid - Datos'!$F$26+'Resid - Datos'!$F$30)*'Resid - BCase Base CF'!O18*'Resid - Datos'!$O$7/(1+'Resid - Datos'!$O$13)</f>
        <v>407698.6653748377</v>
      </c>
      <c r="P102" s="84">
        <f>+P11*('Resid - Datos'!$F$26+'Resid - Datos'!$F$30)*'Resid - BCase Base CF'!P18*'Resid - Datos'!$O$7/(1+'Resid - Datos'!$O$13)</f>
        <v>288301.19908649242</v>
      </c>
      <c r="Q102" s="84">
        <f>+Q11*('Resid - Datos'!$F$26+'Resid - Datos'!$F$30)*'Resid - BCase Base CF'!Q18*'Resid - Datos'!$O$7/(1+'Resid - Datos'!$O$13)</f>
        <v>291213.33241059841</v>
      </c>
      <c r="R102" s="84">
        <f>+R11*('Resid - Datos'!$F$26+'Resid - Datos'!$F$30)*'Resid - BCase Base CF'!R18*'Resid - Datos'!$O$7/(1+'Resid - Datos'!$O$13)</f>
        <v>291213.33241059841</v>
      </c>
      <c r="S102" s="84">
        <f>+S11*('Resid - Datos'!$F$26+'Resid - Datos'!$F$30)*'Resid - BCase Base CF'!S18*'Resid - Datos'!$O$7/(1+'Resid - Datos'!$O$13)</f>
        <v>210089.61838193168</v>
      </c>
      <c r="T102" s="84">
        <f>+T11*('Resid - Datos'!$F$26+'Resid - Datos'!$F$30)*'Resid - BCase Base CF'!T18*'Resid - Datos'!$O$7/(1+'Resid - Datos'!$O$13)</f>
        <v>212169.71361343598</v>
      </c>
      <c r="U102" s="84">
        <f>+U11*('Resid - Datos'!$F$26+'Resid - Datos'!$F$30)*'Resid - BCase Base CF'!U18*'Resid - Datos'!$O$7/(1+'Resid - Datos'!$O$13)</f>
        <v>214249.80884494021</v>
      </c>
      <c r="V102" s="84">
        <f>+V11*('Resid - Datos'!$F$26+'Resid - Datos'!$F$30)*'Resid - BCase Base CF'!V18*'Resid - Datos'!$O$7/(1+'Resid - Datos'!$O$13)</f>
        <v>173063.92326115558</v>
      </c>
      <c r="W102" s="84">
        <f>+W11*('Resid - Datos'!$F$26+'Resid - Datos'!$F$30)*'Resid - BCase Base CF'!W18*'Resid - Datos'!$O$7/(1+'Resid - Datos'!$O$13)</f>
        <v>174727.999446359</v>
      </c>
      <c r="X102" s="84">
        <f>+X11*('Resid - Datos'!$F$26+'Resid - Datos'!$F$30)*'Resid - BCase Base CF'!X18*'Resid - Datos'!$O$7/(1+'Resid - Datos'!$O$13)</f>
        <v>174727.999446359</v>
      </c>
      <c r="Y102" s="84">
        <f>+Y11*('Resid - Datos'!$F$26+'Resid - Datos'!$F$30)*'Resid - BCase Base CF'!Y18*'Resid - Datos'!$O$7/(1+'Resid - Datos'!$O$13)</f>
        <v>174727.999446359</v>
      </c>
      <c r="Z102" s="84">
        <f>+Z11*('Resid - Datos'!$F$26+'Resid - Datos'!$F$30)*'Resid - BCase Base CF'!Z18*'Resid - Datos'!$O$7/(1+'Resid - Datos'!$O$13)</f>
        <v>174727.999446359</v>
      </c>
      <c r="AA102" s="84">
        <f>+AA11*('Resid - Datos'!$F$26+'Resid - Datos'!$F$30)*'Resid - BCase Base CF'!AA18*'Resid - Datos'!$O$7/(1+'Resid - Datos'!$O$13)</f>
        <v>174727.999446359</v>
      </c>
      <c r="AB102" s="84">
        <f>+AB11*('Resid - Datos'!$F$26+'Resid - Datos'!$F$30)*'Resid - BCase Base CF'!AB18*'Resid - Datos'!$O$7/(1+'Resid - Datos'!$O$13)</f>
        <v>174727.999446359</v>
      </c>
      <c r="AC102" s="84">
        <f>+AC11*('Resid - Datos'!$F$26+'Resid - Datos'!$F$30)*'Resid - BCase Base CF'!AC18*'Resid - Datos'!$O$7/(1+'Resid - Datos'!$O$13)</f>
        <v>174727.999446359</v>
      </c>
      <c r="AD102" s="84">
        <f>+AD11*('Resid - Datos'!$F$26+'Resid - Datos'!$F$30)*'Resid - BCase Base CF'!AD18*'Resid - Datos'!$O$7/(1+'Resid - Datos'!$O$13)</f>
        <v>174727.999446359</v>
      </c>
      <c r="AE102" s="84">
        <f>+AE11*('Resid - Datos'!$F$26+'Resid - Datos'!$F$30)*'Resid - BCase Base CF'!AE18*'Resid - Datos'!$O$7/(1+'Resid - Datos'!$O$13)</f>
        <v>174727.999446359</v>
      </c>
      <c r="AF102" s="84">
        <f>+AF11*('Resid - Datos'!$F$26+'Resid - Datos'!$F$30)*'Resid - BCase Base CF'!AF18*'Resid - Datos'!$O$7/(1+'Resid - Datos'!$O$13)</f>
        <v>174727.999446359</v>
      </c>
      <c r="AG102" s="84">
        <f>+AG11*('Resid - Datos'!$F$26+'Resid - Datos'!$F$30)*'Resid - BCase Base CF'!AG18*'Resid - Datos'!$O$7/(1+'Resid - Datos'!$O$13)</f>
        <v>174727.999446359</v>
      </c>
      <c r="AH102" s="84">
        <f>+AH11*('Resid - Datos'!$F$26+'Resid - Datos'!$F$30)*'Resid - BCase Base CF'!AH18*'Resid - Datos'!$O$7/(1+'Resid - Datos'!$O$13)</f>
        <v>131045.99958476926</v>
      </c>
      <c r="AI102" s="84">
        <f>+AI11*('Resid - Datos'!$F$26+'Resid - Datos'!$F$30)*'Resid - BCase Base CF'!AI18*'Resid - Datos'!$O$7/(1+'Resid - Datos'!$O$13)</f>
        <v>131045.99958476926</v>
      </c>
      <c r="AJ102" s="84">
        <f>+AJ11*('Resid - Datos'!$F$26+'Resid - Datos'!$F$30)*'Resid - BCase Base CF'!AJ18*'Resid - Datos'!$O$7/(1+'Resid - Datos'!$O$13)</f>
        <v>131045.99958476926</v>
      </c>
      <c r="AK102" s="84">
        <f>+AK11*('Resid - Datos'!$F$26+'Resid - Datos'!$F$30)*'Resid - BCase Base CF'!AK18*'Resid - Datos'!$O$7/(1+'Resid - Datos'!$O$13)</f>
        <v>131045.99958476926</v>
      </c>
      <c r="AL102" s="84">
        <f>+AL11*('Resid - Datos'!$F$26+'Resid - Datos'!$F$30)*'Resid - BCase Base CF'!AL18*'Resid - Datos'!$O$7/(1+'Resid - Datos'!$O$13)</f>
        <v>131045.99958476926</v>
      </c>
      <c r="AM102" s="84">
        <f>+AM11*('Resid - Datos'!$F$26+'Resid - Datos'!$F$30)*'Resid - BCase Base CF'!AM18*'Resid - Datos'!$O$7/(1+'Resid - Datos'!$O$13)</f>
        <v>131045.99958476926</v>
      </c>
      <c r="AN102" s="84">
        <f>+AN11*('Resid - Datos'!$F$26+'Resid - Datos'!$F$30)*'Resid - BCase Base CF'!AN18*'Resid - Datos'!$O$7/(1+'Resid - Datos'!$O$13)</f>
        <v>131045.99958476926</v>
      </c>
      <c r="AO102" s="84">
        <f>+AO11*('Resid - Datos'!$F$26+'Resid - Datos'!$F$30)*'Resid - BCase Base CF'!AO18*'Resid - Datos'!$O$7/(1+'Resid - Datos'!$O$13)</f>
        <v>131045.99958476926</v>
      </c>
      <c r="AP102" s="84">
        <f>+AP11*('Resid - Datos'!$F$26+'Resid - Datos'!$F$30)*'Resid - BCase Base CF'!AP18*'Resid - Datos'!$O$7/(1+'Resid - Datos'!$O$13)</f>
        <v>131045.99958476926</v>
      </c>
      <c r="AQ102" s="84">
        <f>+AQ11*('Resid - Datos'!$F$26+'Resid - Datos'!$F$30)*'Resid - BCase Base CF'!AQ18*'Resid - Datos'!$O$7/(1+'Resid - Datos'!$O$13)</f>
        <v>131045.99958476926</v>
      </c>
      <c r="AR102" s="84">
        <f>+AR11*('Resid - Datos'!$F$26+'Resid - Datos'!$F$30)*'Resid - BCase Base CF'!AR18*'Resid - Datos'!$O$7/(1+'Resid - Datos'!$O$13)</f>
        <v>87363.999723179499</v>
      </c>
      <c r="AS102" s="84">
        <f>+AS11*('Resid - Datos'!$F$26+'Resid - Datos'!$F$30)*'Resid - BCase Base CF'!AS18*'Resid - Datos'!$O$7/(1+'Resid - Datos'!$O$13)</f>
        <v>87363.999723179499</v>
      </c>
      <c r="AT102" s="84">
        <f>+AT11*('Resid - Datos'!$F$26+'Resid - Datos'!$F$30)*'Resid - BCase Base CF'!AT18*'Resid - Datos'!$O$7/(1+'Resid - Datos'!$O$13)</f>
        <v>87363.999723179499</v>
      </c>
      <c r="AU102" s="84">
        <f>+AU11*('Resid - Datos'!$F$26+'Resid - Datos'!$F$30)*'Resid - BCase Base CF'!AU18*'Resid - Datos'!$O$7/(1+'Resid - Datos'!$O$13)</f>
        <v>87363.999723179499</v>
      </c>
      <c r="AV102" s="84">
        <f>+AV11*('Resid - Datos'!$F$26+'Resid - Datos'!$F$30)*'Resid - BCase Base CF'!AV18*'Resid - Datos'!$O$7/(1+'Resid - Datos'!$O$13)</f>
        <v>0</v>
      </c>
      <c r="AW102" s="84">
        <f>+AW11*('Resid - Datos'!$F$26+'Resid - Datos'!$F$30)*'Resid - BCase Base CF'!AW18*'Resid - Datos'!$O$7/(1+'Resid - Datos'!$O$13)</f>
        <v>0</v>
      </c>
      <c r="AX102" s="84">
        <f>+AX11*('Resid - Datos'!$F$26+'Resid - Datos'!$F$30)*'Resid - BCase Base CF'!AX18*'Resid - Datos'!$O$7/(1+'Resid - Datos'!$O$13)</f>
        <v>0</v>
      </c>
      <c r="AY102" s="84">
        <f>+AY11*('Resid - Datos'!$F$26+'Resid - Datos'!$F$30)*'Resid - BCase Base CF'!AY18*'Resid - Datos'!$O$7/(1+'Resid - Datos'!$O$13)</f>
        <v>0</v>
      </c>
      <c r="AZ102" s="84">
        <f>+AZ11*('Resid - Datos'!$F$26+'Resid - Datos'!$F$30)*'Resid - BCase Base CF'!AZ18*'Resid - Datos'!$O$7/(1+'Resid - Datos'!$O$13)</f>
        <v>0</v>
      </c>
      <c r="BA102" s="84">
        <f>+BA11*('Resid - Datos'!$F$26+'Resid - Datos'!$F$30)*'Resid - BCase Base CF'!BA18*'Resid - Datos'!$O$7/(1+'Resid - Datos'!$O$13)</f>
        <v>0</v>
      </c>
      <c r="BB102" s="84">
        <f>+BB11*('Resid - Datos'!$F$26+'Resid - Datos'!$F$30)*'Resid - BCase Base CF'!BB18*'Resid - Datos'!$O$7/(1+'Resid - Datos'!$O$13)</f>
        <v>0</v>
      </c>
      <c r="BC102" s="84">
        <f>+BC11*('Resid - Datos'!$F$26+'Resid - Datos'!$F$30)*'Resid - BCase Base CF'!BC18*'Resid - Datos'!$O$7/(1+'Resid - Datos'!$O$13)</f>
        <v>0</v>
      </c>
      <c r="BD102" s="84">
        <f>+BD11*('Resid - Datos'!$F$26+'Resid - Datos'!$F$30)*'Resid - BCase Base CF'!BD18*'Resid - Datos'!$O$7/(1+'Resid - Datos'!$O$13)</f>
        <v>0</v>
      </c>
      <c r="BE102" s="84">
        <f>+BE11*('Resid - Datos'!$F$26+'Resid - Datos'!$F$30)*'Resid - BCase Base CF'!BE18*'Resid - Datos'!$O$7/(1+'Resid - Datos'!$O$13)</f>
        <v>0</v>
      </c>
      <c r="BF102" s="84">
        <f>+BF11*('Resid - Datos'!$F$26+'Resid - Datos'!$F$30)*'Resid - BCase Base CF'!BF18*'Resid - Datos'!$O$7/(1+'Resid - Datos'!$O$13)</f>
        <v>0</v>
      </c>
      <c r="BG102" s="84">
        <f>+BG11*('Resid - Datos'!$F$26+'Resid - Datos'!$F$30)*'Resid - BCase Base CF'!BG18*'Resid - Datos'!$O$7/(1+'Resid - Datos'!$O$13)</f>
        <v>0</v>
      </c>
      <c r="BH102" s="84">
        <f>+BH11*('Resid - Datos'!$F$26+'Resid - Datos'!$F$30)*'Resid - BCase Base CF'!BH18*'Resid - Datos'!$O$7/(1+'Resid - Datos'!$O$13)</f>
        <v>0</v>
      </c>
      <c r="BI102" s="84">
        <f>+BI11*('Resid - Datos'!$F$26+'Resid - Datos'!$F$30)*'Resid - BCase Base CF'!BI18*'Resid - Datos'!$O$7/(1+'Resid - Datos'!$O$13)</f>
        <v>0</v>
      </c>
      <c r="BJ102" s="84">
        <f>+BJ11*('Resid - Datos'!$F$26+'Resid - Datos'!$F$30)*'Resid - BCase Base CF'!BJ18*'Resid - Datos'!$O$7/(1+'Resid - Datos'!$O$13)</f>
        <v>0</v>
      </c>
      <c r="BK102" s="84">
        <f>+BK11*('Resid - Datos'!$F$26+'Resid - Datos'!$F$30)*'Resid - BCase Base CF'!BK18*'Resid - Datos'!$O$7/(1+'Resid - Datos'!$O$13)</f>
        <v>0</v>
      </c>
      <c r="BL102" s="84">
        <f>+BL11*('Resid - Datos'!$F$26+'Resid - Datos'!$F$30)*'Resid - BCase Base CF'!BL18*'Resid - Datos'!$O$7/(1+'Resid - Datos'!$O$13)</f>
        <v>0</v>
      </c>
      <c r="BM102" s="84">
        <f>+BM11*('Resid - Datos'!$F$26+'Resid - Datos'!$F$30)*'Resid - BCase Base CF'!BM18*'Resid - Datos'!$O$7/(1+'Resid - Datos'!$O$13)</f>
        <v>0</v>
      </c>
      <c r="BN102" s="84">
        <f>+BN11*('Resid - Datos'!$F$26+'Resid - Datos'!$F$30)*'Resid - BCase Base CF'!BN18*'Resid - Datos'!$O$7/(1+'Resid - Datos'!$O$13)</f>
        <v>0</v>
      </c>
      <c r="BO102" s="84">
        <f>+BO11*('Resid - Datos'!$F$26+'Resid - Datos'!$F$30)*'Resid - BCase Base CF'!BO18*'Resid - Datos'!$O$7/(1+'Resid - Datos'!$O$13)</f>
        <v>0</v>
      </c>
      <c r="BP102" s="84">
        <f>+BP11*('Resid - Datos'!$F$26+'Resid - Datos'!$F$30)*'Resid - BCase Base CF'!BP18*'Resid - Datos'!$O$7/(1+'Resid - Datos'!$O$13)</f>
        <v>0</v>
      </c>
      <c r="BQ102" s="84">
        <f>+BQ11*('Resid - Datos'!$F$26+'Resid - Datos'!$F$30)*'Resid - BCase Base CF'!BQ18*'Resid - Datos'!$O$7/(1+'Resid - Datos'!$O$13)</f>
        <v>0</v>
      </c>
    </row>
    <row r="103" spans="1:86" s="84" customFormat="1" ht="14" hidden="1" outlineLevel="1">
      <c r="A103" s="142" t="str">
        <f>+A38</f>
        <v xml:space="preserve">     Módulo 3</v>
      </c>
      <c r="B103" s="661"/>
      <c r="C103" s="633">
        <f>SUM(D103:BQ103)</f>
        <v>7954886.7891679136</v>
      </c>
      <c r="D103" s="84">
        <f>+D12*('Resid - Datos'!$F$27+'Resid - Datos'!$F$31)*'Resid - BCase Base CF'!D18*'Resid - Datos'!$O$7/(1+'Resid - Datos'!$O$13)</f>
        <v>0</v>
      </c>
      <c r="E103" s="84">
        <f>+E12*('Resid - Datos'!$F$27+'Resid - Datos'!$F$31)*'Resid - BCase Base CF'!E18*'Resid - Datos'!$O$7/(1+'Resid - Datos'!$O$13)</f>
        <v>0</v>
      </c>
      <c r="F103" s="84">
        <f>+F12*('Resid - Datos'!$F$27+'Resid - Datos'!$F$31)*'Resid - BCase Base CF'!F18*'Resid - Datos'!$O$7/(1+'Resid - Datos'!$O$13)</f>
        <v>0</v>
      </c>
      <c r="G103" s="84">
        <f>+G12*('Resid - Datos'!$F$27+'Resid - Datos'!$F$31)*'Resid - BCase Base CF'!G18*'Resid - Datos'!$O$7/(1+'Resid - Datos'!$O$13)</f>
        <v>0</v>
      </c>
      <c r="H103" s="84">
        <f>+H12*('Resid - Datos'!$F$27+'Resid - Datos'!$F$31)*'Resid - BCase Base CF'!H18*'Resid - Datos'!$O$7/(1+'Resid - Datos'!$O$13)</f>
        <v>0</v>
      </c>
      <c r="I103" s="84">
        <f>+I12*('Resid - Datos'!$F$27+'Resid - Datos'!$F$31)*'Resid - BCase Base CF'!I18*'Resid - Datos'!$O$7/(1+'Resid - Datos'!$O$13)</f>
        <v>0</v>
      </c>
      <c r="J103" s="84">
        <f>+J12*('Resid - Datos'!$F$27+'Resid - Datos'!$F$31)*'Resid - BCase Base CF'!J18*'Resid - Datos'!$O$7/(1+'Resid - Datos'!$O$13)</f>
        <v>731812.99395374989</v>
      </c>
      <c r="K103" s="84">
        <f>+K12*('Resid - Datos'!$F$27+'Resid - Datos'!$F$31)*'Resid - BCase Base CF'!K18*'Resid - Datos'!$O$7/(1+'Resid - Datos'!$O$13)</f>
        <v>554825.61226384842</v>
      </c>
      <c r="L103" s="84">
        <f>+L12*('Resid - Datos'!$F$27+'Resid - Datos'!$F$31)*'Resid - BCase Base CF'!L18*'Resid - Datos'!$O$7/(1+'Resid - Datos'!$O$13)</f>
        <v>486019.28185406653</v>
      </c>
      <c r="M103" s="84">
        <f>+M12*('Resid - Datos'!$F$27+'Resid - Datos'!$F$31)*'Resid - BCase Base CF'!M18*'Resid - Datos'!$O$7/(1+'Resid - Datos'!$O$13)</f>
        <v>377838.23057394702</v>
      </c>
      <c r="N103" s="84">
        <f>+N12*('Resid - Datos'!$F$27+'Resid - Datos'!$F$31)*'Resid - BCase Base CF'!N18*'Resid - Datos'!$O$7/(1+'Resid - Datos'!$O$13)</f>
        <v>383804.097372483</v>
      </c>
      <c r="O103" s="84">
        <f>+O12*('Resid - Datos'!$F$27+'Resid - Datos'!$F$31)*'Resid - BCase Base CF'!O18*'Resid - Datos'!$O$7/(1+'Resid - Datos'!$O$13)</f>
        <v>389769.96417101898</v>
      </c>
      <c r="P103" s="84">
        <f>+P12*('Resid - Datos'!$F$27+'Resid - Datos'!$F$31)*'Resid - BCase Base CF'!P18*'Resid - Datos'!$O$7/(1+'Resid - Datos'!$O$13)</f>
        <v>275623.04609236342</v>
      </c>
      <c r="Q103" s="84">
        <f>+Q12*('Resid - Datos'!$F$27+'Resid - Datos'!$F$31)*'Resid - BCase Base CF'!Q18*'Resid - Datos'!$O$7/(1+'Resid - Datos'!$O$13)</f>
        <v>278407.11726501357</v>
      </c>
      <c r="R103" s="84">
        <f>+R12*('Resid - Datos'!$F$27+'Resid - Datos'!$F$31)*'Resid - BCase Base CF'!R18*'Resid - Datos'!$O$7/(1+'Resid - Datos'!$O$13)</f>
        <v>278407.11726501357</v>
      </c>
      <c r="S103" s="84">
        <f>+S12*('Resid - Datos'!$F$27+'Resid - Datos'!$F$31)*'Resid - BCase Base CF'!S18*'Resid - Datos'!$O$7/(1+'Resid - Datos'!$O$13)</f>
        <v>200850.8488840455</v>
      </c>
      <c r="T103" s="84">
        <f>+T12*('Resid - Datos'!$F$27+'Resid - Datos'!$F$31)*'Resid - BCase Base CF'!T18*'Resid - Datos'!$O$7/(1+'Resid - Datos'!$O$13)</f>
        <v>202839.47115022418</v>
      </c>
      <c r="U103" s="84">
        <f>+U12*('Resid - Datos'!$F$27+'Resid - Datos'!$F$31)*'Resid - BCase Base CF'!U18*'Resid - Datos'!$O$7/(1+'Resid - Datos'!$O$13)</f>
        <v>204828.09341640281</v>
      </c>
      <c r="V103" s="84">
        <f>+V12*('Resid - Datos'!$F$27+'Resid - Datos'!$F$31)*'Resid - BCase Base CF'!V18*'Resid - Datos'!$O$7/(1+'Resid - Datos'!$O$13)</f>
        <v>165453.37254606522</v>
      </c>
      <c r="W103" s="84">
        <f>+W12*('Resid - Datos'!$F$27+'Resid - Datos'!$F$31)*'Resid - BCase Base CF'!W18*'Resid - Datos'!$O$7/(1+'Resid - Datos'!$O$13)</f>
        <v>167044.27035900814</v>
      </c>
      <c r="X103" s="84">
        <f>+X12*('Resid - Datos'!$F$27+'Resid - Datos'!$F$31)*'Resid - BCase Base CF'!X18*'Resid - Datos'!$O$7/(1+'Resid - Datos'!$O$13)</f>
        <v>167044.27035900814</v>
      </c>
      <c r="Y103" s="84">
        <f>+Y12*('Resid - Datos'!$F$27+'Resid - Datos'!$F$31)*'Resid - BCase Base CF'!Y18*'Resid - Datos'!$O$7/(1+'Resid - Datos'!$O$13)</f>
        <v>167044.27035900814</v>
      </c>
      <c r="Z103" s="84">
        <f>+Z12*('Resid - Datos'!$F$27+'Resid - Datos'!$F$31)*'Resid - BCase Base CF'!Z18*'Resid - Datos'!$O$7/(1+'Resid - Datos'!$O$13)</f>
        <v>167044.27035900814</v>
      </c>
      <c r="AA103" s="84">
        <f>+AA12*('Resid - Datos'!$F$27+'Resid - Datos'!$F$31)*'Resid - BCase Base CF'!AA18*'Resid - Datos'!$O$7/(1+'Resid - Datos'!$O$13)</f>
        <v>167044.27035900814</v>
      </c>
      <c r="AB103" s="84">
        <f>+AB12*('Resid - Datos'!$F$27+'Resid - Datos'!$F$31)*'Resid - BCase Base CF'!AB18*'Resid - Datos'!$O$7/(1+'Resid - Datos'!$O$13)</f>
        <v>167044.27035900814</v>
      </c>
      <c r="AC103" s="84">
        <f>+AC12*('Resid - Datos'!$F$27+'Resid - Datos'!$F$31)*'Resid - BCase Base CF'!AC18*'Resid - Datos'!$O$7/(1+'Resid - Datos'!$O$13)</f>
        <v>167044.27035900814</v>
      </c>
      <c r="AD103" s="84">
        <f>+AD12*('Resid - Datos'!$F$27+'Resid - Datos'!$F$31)*'Resid - BCase Base CF'!AD18*'Resid - Datos'!$O$7/(1+'Resid - Datos'!$O$13)</f>
        <v>167044.27035900814</v>
      </c>
      <c r="AE103" s="84">
        <f>+AE12*('Resid - Datos'!$F$27+'Resid - Datos'!$F$31)*'Resid - BCase Base CF'!AE18*'Resid - Datos'!$O$7/(1+'Resid - Datos'!$O$13)</f>
        <v>167044.27035900814</v>
      </c>
      <c r="AF103" s="84">
        <f>+AF12*('Resid - Datos'!$F$27+'Resid - Datos'!$F$31)*'Resid - BCase Base CF'!AF18*'Resid - Datos'!$O$7/(1+'Resid - Datos'!$O$13)</f>
        <v>167044.27035900814</v>
      </c>
      <c r="AG103" s="84">
        <f>+AG12*('Resid - Datos'!$F$27+'Resid - Datos'!$F$31)*'Resid - BCase Base CF'!AG18*'Resid - Datos'!$O$7/(1+'Resid - Datos'!$O$13)</f>
        <v>167044.27035900814</v>
      </c>
      <c r="AH103" s="84">
        <f>+AH12*('Resid - Datos'!$F$27+'Resid - Datos'!$F$31)*'Resid - BCase Base CF'!AH18*'Resid - Datos'!$O$7/(1+'Resid - Datos'!$O$13)</f>
        <v>125283.2027692561</v>
      </c>
      <c r="AI103" s="84">
        <f>+AI12*('Resid - Datos'!$F$27+'Resid - Datos'!$F$31)*'Resid - BCase Base CF'!AI18*'Resid - Datos'!$O$7/(1+'Resid - Datos'!$O$13)</f>
        <v>125283.2027692561</v>
      </c>
      <c r="AJ103" s="84">
        <f>+AJ12*('Resid - Datos'!$F$27+'Resid - Datos'!$F$31)*'Resid - BCase Base CF'!AJ18*'Resid - Datos'!$O$7/(1+'Resid - Datos'!$O$13)</f>
        <v>125283.2027692561</v>
      </c>
      <c r="AK103" s="84">
        <f>+AK12*('Resid - Datos'!$F$27+'Resid - Datos'!$F$31)*'Resid - BCase Base CF'!AK18*'Resid - Datos'!$O$7/(1+'Resid - Datos'!$O$13)</f>
        <v>125283.2027692561</v>
      </c>
      <c r="AL103" s="84">
        <f>+AL12*('Resid - Datos'!$F$27+'Resid - Datos'!$F$31)*'Resid - BCase Base CF'!AL18*'Resid - Datos'!$O$7/(1+'Resid - Datos'!$O$13)</f>
        <v>125283.2027692561</v>
      </c>
      <c r="AM103" s="84">
        <f>+AM12*('Resid - Datos'!$F$27+'Resid - Datos'!$F$31)*'Resid - BCase Base CF'!AM18*'Resid - Datos'!$O$7/(1+'Resid - Datos'!$O$13)</f>
        <v>125283.2027692561</v>
      </c>
      <c r="AN103" s="84">
        <f>+AN12*('Resid - Datos'!$F$27+'Resid - Datos'!$F$31)*'Resid - BCase Base CF'!AN18*'Resid - Datos'!$O$7/(1+'Resid - Datos'!$O$13)</f>
        <v>125283.2027692561</v>
      </c>
      <c r="AO103" s="84">
        <f>+AO12*('Resid - Datos'!$F$27+'Resid - Datos'!$F$31)*'Resid - BCase Base CF'!AO18*'Resid - Datos'!$O$7/(1+'Resid - Datos'!$O$13)</f>
        <v>125283.2027692561</v>
      </c>
      <c r="AP103" s="84">
        <f>+AP12*('Resid - Datos'!$F$27+'Resid - Datos'!$F$31)*'Resid - BCase Base CF'!AP18*'Resid - Datos'!$O$7/(1+'Resid - Datos'!$O$13)</f>
        <v>125283.2027692561</v>
      </c>
      <c r="AQ103" s="84">
        <f>+AQ12*('Resid - Datos'!$F$27+'Resid - Datos'!$F$31)*'Resid - BCase Base CF'!AQ18*'Resid - Datos'!$O$7/(1+'Resid - Datos'!$O$13)</f>
        <v>125283.2027692561</v>
      </c>
      <c r="AR103" s="84">
        <f>+AR12*('Resid - Datos'!$F$27+'Resid - Datos'!$F$31)*'Resid - BCase Base CF'!AR18*'Resid - Datos'!$O$7/(1+'Resid - Datos'!$O$13)</f>
        <v>83522.135179504068</v>
      </c>
      <c r="AS103" s="84">
        <f>+AS12*('Resid - Datos'!$F$27+'Resid - Datos'!$F$31)*'Resid - BCase Base CF'!AS18*'Resid - Datos'!$O$7/(1+'Resid - Datos'!$O$13)</f>
        <v>83522.135179504068</v>
      </c>
      <c r="AT103" s="84">
        <f>+AT12*('Resid - Datos'!$F$27+'Resid - Datos'!$F$31)*'Resid - BCase Base CF'!AT18*'Resid - Datos'!$O$7/(1+'Resid - Datos'!$O$13)</f>
        <v>83522.135179504068</v>
      </c>
      <c r="AU103" s="84">
        <f>+AU12*('Resid - Datos'!$F$27+'Resid - Datos'!$F$31)*'Resid - BCase Base CF'!AU18*'Resid - Datos'!$O$7/(1+'Resid - Datos'!$O$13)</f>
        <v>83522.135179504068</v>
      </c>
      <c r="AV103" s="84">
        <f>+AV12*('Resid - Datos'!$F$27+'Resid - Datos'!$F$31)*'Resid - BCase Base CF'!AV18*'Resid - Datos'!$O$7/(1+'Resid - Datos'!$O$13)</f>
        <v>0</v>
      </c>
      <c r="AW103" s="84">
        <f>+AW12*('Resid - Datos'!$F$27+'Resid - Datos'!$F$31)*'Resid - BCase Base CF'!AW18*'Resid - Datos'!$O$7/(1+'Resid - Datos'!$O$13)</f>
        <v>0</v>
      </c>
      <c r="AX103" s="84">
        <f>+AX12*('Resid - Datos'!$F$27+'Resid - Datos'!$F$31)*'Resid - BCase Base CF'!AX18*'Resid - Datos'!$O$7/(1+'Resid - Datos'!$O$13)</f>
        <v>0</v>
      </c>
      <c r="AY103" s="84">
        <f>+AY12*('Resid - Datos'!$F$27+'Resid - Datos'!$F$31)*'Resid - BCase Base CF'!AY18*'Resid - Datos'!$O$7/(1+'Resid - Datos'!$O$13)</f>
        <v>0</v>
      </c>
      <c r="AZ103" s="84">
        <f>+AZ12*('Resid - Datos'!$F$27+'Resid - Datos'!$F$31)*'Resid - BCase Base CF'!AZ18*'Resid - Datos'!$O$7/(1+'Resid - Datos'!$O$13)</f>
        <v>0</v>
      </c>
      <c r="BA103" s="84">
        <f>+BA12*('Resid - Datos'!$F$27+'Resid - Datos'!$F$31)*'Resid - BCase Base CF'!BA18*'Resid - Datos'!$O$7/(1+'Resid - Datos'!$O$13)</f>
        <v>0</v>
      </c>
      <c r="BB103" s="84">
        <f>+BB12*('Resid - Datos'!$F$27+'Resid - Datos'!$F$31)*'Resid - BCase Base CF'!BB18*'Resid - Datos'!$O$7/(1+'Resid - Datos'!$O$13)</f>
        <v>0</v>
      </c>
      <c r="BC103" s="84">
        <f>+BC12*('Resid - Datos'!$F$27+'Resid - Datos'!$F$31)*'Resid - BCase Base CF'!BC18*'Resid - Datos'!$O$7/(1+'Resid - Datos'!$O$13)</f>
        <v>0</v>
      </c>
      <c r="BD103" s="84">
        <f>+BD12*('Resid - Datos'!$F$27+'Resid - Datos'!$F$31)*'Resid - BCase Base CF'!BD18*'Resid - Datos'!$O$7/(1+'Resid - Datos'!$O$13)</f>
        <v>0</v>
      </c>
      <c r="BE103" s="84">
        <f>+BE12*('Resid - Datos'!$F$27+'Resid - Datos'!$F$31)*'Resid - BCase Base CF'!BE18*'Resid - Datos'!$O$7/(1+'Resid - Datos'!$O$13)</f>
        <v>0</v>
      </c>
      <c r="BF103" s="84">
        <f>+BF12*('Resid - Datos'!$F$27+'Resid - Datos'!$F$31)*'Resid - BCase Base CF'!BF18*'Resid - Datos'!$O$7/(1+'Resid - Datos'!$O$13)</f>
        <v>0</v>
      </c>
      <c r="BG103" s="84">
        <f>+BG12*('Resid - Datos'!$F$27+'Resid - Datos'!$F$31)*'Resid - BCase Base CF'!BG18*'Resid - Datos'!$O$7/(1+'Resid - Datos'!$O$13)</f>
        <v>0</v>
      </c>
      <c r="BH103" s="84">
        <f>+BH12*('Resid - Datos'!$F$27+'Resid - Datos'!$F$31)*'Resid - BCase Base CF'!BH18*'Resid - Datos'!$O$7/(1+'Resid - Datos'!$O$13)</f>
        <v>0</v>
      </c>
      <c r="BI103" s="84">
        <f>+BI12*('Resid - Datos'!$F$27+'Resid - Datos'!$F$31)*'Resid - BCase Base CF'!BI18*'Resid - Datos'!$O$7/(1+'Resid - Datos'!$O$13)</f>
        <v>0</v>
      </c>
      <c r="BJ103" s="84">
        <f>+BJ12*('Resid - Datos'!$F$27+'Resid - Datos'!$F$31)*'Resid - BCase Base CF'!BJ18*'Resid - Datos'!$O$7/(1+'Resid - Datos'!$O$13)</f>
        <v>0</v>
      </c>
      <c r="BK103" s="84">
        <f>+BK12*('Resid - Datos'!$F$27+'Resid - Datos'!$F$31)*'Resid - BCase Base CF'!BK18*'Resid - Datos'!$O$7/(1+'Resid - Datos'!$O$13)</f>
        <v>0</v>
      </c>
      <c r="BL103" s="84">
        <f>+BL12*('Resid - Datos'!$F$27+'Resid - Datos'!$F$31)*'Resid - BCase Base CF'!BL18*'Resid - Datos'!$O$7/(1+'Resid - Datos'!$O$13)</f>
        <v>0</v>
      </c>
      <c r="BM103" s="84">
        <f>+BM12*('Resid - Datos'!$F$27+'Resid - Datos'!$F$31)*'Resid - BCase Base CF'!BM18*'Resid - Datos'!$O$7/(1+'Resid - Datos'!$O$13)</f>
        <v>0</v>
      </c>
      <c r="BN103" s="84">
        <f>+BN12*('Resid - Datos'!$F$27+'Resid - Datos'!$F$31)*'Resid - BCase Base CF'!BN18*'Resid - Datos'!$O$7/(1+'Resid - Datos'!$O$13)</f>
        <v>0</v>
      </c>
      <c r="BO103" s="84">
        <f>+BO12*('Resid - Datos'!$F$27+'Resid - Datos'!$F$31)*'Resid - BCase Base CF'!BO18*'Resid - Datos'!$O$7/(1+'Resid - Datos'!$O$13)</f>
        <v>0</v>
      </c>
      <c r="BP103" s="84">
        <f>+BP12*('Resid - Datos'!$F$27+'Resid - Datos'!$F$31)*'Resid - BCase Base CF'!BP18*'Resid - Datos'!$O$7/(1+'Resid - Datos'!$O$13)</f>
        <v>0</v>
      </c>
      <c r="BQ103" s="84">
        <f>+BQ12*('Resid - Datos'!$F$27+'Resid - Datos'!$F$31)*'Resid - BCase Base CF'!BQ18*'Resid - Datos'!$O$7/(1+'Resid - Datos'!$O$13)</f>
        <v>0</v>
      </c>
    </row>
    <row r="104" spans="1:86" s="84" customFormat="1" ht="14" hidden="1" outlineLevel="1">
      <c r="A104" s="142" t="str">
        <f>+A39</f>
        <v xml:space="preserve">     Módulo 4</v>
      </c>
      <c r="B104" s="661"/>
      <c r="C104" s="633">
        <f>SUM(D104:BQ104)</f>
        <v>4544604.1362219593</v>
      </c>
      <c r="D104" s="86">
        <f>+D13*('Resid - Datos'!$F$28+'Resid - Datos'!$F$32)*'Resid - BCase Base CF'!D18*'Resid - Datos'!$O$7/(1+'Resid - Datos'!$O$13)</f>
        <v>0</v>
      </c>
      <c r="E104" s="86">
        <f>+E13*('Resid - Datos'!$F$28+'Resid - Datos'!$F$32)*'Resid - BCase Base CF'!E18*'Resid - Datos'!$O$7/(1+'Resid - Datos'!$O$13)</f>
        <v>0</v>
      </c>
      <c r="F104" s="86">
        <f>+F13*('Resid - Datos'!$F$28+'Resid - Datos'!$F$32)*'Resid - BCase Base CF'!F18*'Resid - Datos'!$O$7/(1+'Resid - Datos'!$O$13)</f>
        <v>0</v>
      </c>
      <c r="G104" s="86">
        <f>+G13*('Resid - Datos'!$F$28+'Resid - Datos'!$F$32)*'Resid - BCase Base CF'!G18*'Resid - Datos'!$O$7/(1+'Resid - Datos'!$O$13)</f>
        <v>0</v>
      </c>
      <c r="H104" s="86">
        <f>+H13*('Resid - Datos'!$F$28+'Resid - Datos'!$F$32)*'Resid - BCase Base CF'!H18*'Resid - Datos'!$O$7/(1+'Resid - Datos'!$O$13)</f>
        <v>0</v>
      </c>
      <c r="I104" s="86">
        <f>+I13*('Resid - Datos'!$F$28+'Resid - Datos'!$F$32)*'Resid - BCase Base CF'!I18*'Resid - Datos'!$O$7/(1+'Resid - Datos'!$O$13)</f>
        <v>0</v>
      </c>
      <c r="J104" s="86">
        <f>+J13*('Resid - Datos'!$F$28+'Resid - Datos'!$F$32)*'Resid - BCase Base CF'!J18*'Resid - Datos'!$O$7/(1+'Resid - Datos'!$O$13)</f>
        <v>418082.67639860057</v>
      </c>
      <c r="K104" s="86">
        <f>+K13*('Resid - Datos'!$F$28+'Resid - Datos'!$F$32)*'Resid - BCase Base CF'!K18*'Resid - Datos'!$O$7/(1+'Resid - Datos'!$O$13)</f>
        <v>316970.28998698242</v>
      </c>
      <c r="L104" s="86">
        <f>+L13*('Resid - Datos'!$F$28+'Resid - Datos'!$F$32)*'Resid - BCase Base CF'!L18*'Resid - Datos'!$O$7/(1+'Resid - Datos'!$O$13)</f>
        <v>277661.42965167918</v>
      </c>
      <c r="M104" s="86">
        <f>+M13*('Resid - Datos'!$F$28+'Resid - Datos'!$F$32)*'Resid - BCase Base CF'!M18*'Resid - Datos'!$O$7/(1+'Resid - Datos'!$O$13)</f>
        <v>215857.90357536441</v>
      </c>
      <c r="N104" s="86">
        <f>+N13*('Resid - Datos'!$F$28+'Resid - Datos'!$F$32)*'Resid - BCase Base CF'!N18*'Resid - Datos'!$O$7/(1+'Resid - Datos'!$O$13)</f>
        <v>219266.18626339646</v>
      </c>
      <c r="O104" s="86">
        <f>+O13*('Resid - Datos'!$F$28+'Resid - Datos'!$F$32)*'Resid - BCase Base CF'!O18*'Resid - Datos'!$O$7/(1+'Resid - Datos'!$O$13)</f>
        <v>222674.46895142854</v>
      </c>
      <c r="P104" s="86">
        <f>+P13*('Resid - Datos'!$F$28+'Resid - Datos'!$F$32)*'Resid - BCase Base CF'!P18*'Resid - Datos'!$O$7/(1+'Resid - Datos'!$O$13)</f>
        <v>157462.66018708161</v>
      </c>
      <c r="Q104" s="86">
        <f>+Q13*('Resid - Datos'!$F$28+'Resid - Datos'!$F$32)*'Resid - BCase Base CF'!Q18*'Resid - Datos'!$O$7/(1+'Resid - Datos'!$O$13)</f>
        <v>159053.19210816326</v>
      </c>
      <c r="R104" s="86">
        <f>+R13*('Resid - Datos'!$F$28+'Resid - Datos'!$F$32)*'Resid - BCase Base CF'!R18*'Resid - Datos'!$O$7/(1+'Resid - Datos'!$O$13)</f>
        <v>159053.19210816326</v>
      </c>
      <c r="S104" s="86">
        <f>+S13*('Resid - Datos'!$F$28+'Resid - Datos'!$F$32)*'Resid - BCase Base CF'!S18*'Resid - Datos'!$O$7/(1+'Resid - Datos'!$O$13)</f>
        <v>114745.51716374632</v>
      </c>
      <c r="T104" s="86">
        <f>+T13*('Resid - Datos'!$F$28+'Resid - Datos'!$F$32)*'Resid - BCase Base CF'!T18*'Resid - Datos'!$O$7/(1+'Resid - Datos'!$O$13)</f>
        <v>115881.61139309037</v>
      </c>
      <c r="U104" s="86">
        <f>+U13*('Resid - Datos'!$F$28+'Resid - Datos'!$F$32)*'Resid - BCase Base CF'!U18*'Resid - Datos'!$O$7/(1+'Resid - Datos'!$O$13)</f>
        <v>117017.70562243438</v>
      </c>
      <c r="V104" s="86">
        <f>+V13*('Resid - Datos'!$F$28+'Resid - Datos'!$F$32)*'Resid - BCase Base CF'!V18*'Resid - Datos'!$O$7/(1+'Resid - Datos'!$O$13)</f>
        <v>94523.039881422737</v>
      </c>
      <c r="W104" s="86">
        <f>+W13*('Resid - Datos'!$F$28+'Resid - Datos'!$F$32)*'Resid - BCase Base CF'!W18*'Resid - Datos'!$O$7/(1+'Resid - Datos'!$O$13)</f>
        <v>95431.915264897936</v>
      </c>
      <c r="X104" s="86">
        <f>+X13*('Resid - Datos'!$F$28+'Resid - Datos'!$F$32)*'Resid - BCase Base CF'!X18*'Resid - Datos'!$O$7/(1+'Resid - Datos'!$O$13)</f>
        <v>95431.915264897936</v>
      </c>
      <c r="Y104" s="86">
        <f>+Y13*('Resid - Datos'!$F$28+'Resid - Datos'!$F$32)*'Resid - BCase Base CF'!Y18*'Resid - Datos'!$O$7/(1+'Resid - Datos'!$O$13)</f>
        <v>95431.915264897936</v>
      </c>
      <c r="Z104" s="86">
        <f>+Z13*('Resid - Datos'!$F$28+'Resid - Datos'!$F$32)*'Resid - BCase Base CF'!Z18*'Resid - Datos'!$O$7/(1+'Resid - Datos'!$O$13)</f>
        <v>95431.915264897936</v>
      </c>
      <c r="AA104" s="86">
        <f>+AA13*('Resid - Datos'!$F$28+'Resid - Datos'!$F$32)*'Resid - BCase Base CF'!AA18*'Resid - Datos'!$O$7/(1+'Resid - Datos'!$O$13)</f>
        <v>95431.915264897936</v>
      </c>
      <c r="AB104" s="86">
        <f>+AB13*('Resid - Datos'!$F$28+'Resid - Datos'!$F$32)*'Resid - BCase Base CF'!AB18*'Resid - Datos'!$O$7/(1+'Resid - Datos'!$O$13)</f>
        <v>95431.915264897936</v>
      </c>
      <c r="AC104" s="86">
        <f>+AC13*('Resid - Datos'!$F$28+'Resid - Datos'!$F$32)*'Resid - BCase Base CF'!AC18*'Resid - Datos'!$O$7/(1+'Resid - Datos'!$O$13)</f>
        <v>95431.915264897936</v>
      </c>
      <c r="AD104" s="86">
        <f>+AD13*('Resid - Datos'!$F$28+'Resid - Datos'!$F$32)*'Resid - BCase Base CF'!AD18*'Resid - Datos'!$O$7/(1+'Resid - Datos'!$O$13)</f>
        <v>95431.915264897936</v>
      </c>
      <c r="AE104" s="86">
        <f>+AE13*('Resid - Datos'!$F$28+'Resid - Datos'!$F$32)*'Resid - BCase Base CF'!AE18*'Resid - Datos'!$O$7/(1+'Resid - Datos'!$O$13)</f>
        <v>95431.915264897936</v>
      </c>
      <c r="AF104" s="86">
        <f>+AF13*('Resid - Datos'!$F$28+'Resid - Datos'!$F$32)*'Resid - BCase Base CF'!AF18*'Resid - Datos'!$O$7/(1+'Resid - Datos'!$O$13)</f>
        <v>95431.915264897936</v>
      </c>
      <c r="AG104" s="86">
        <f>+AG13*('Resid - Datos'!$F$28+'Resid - Datos'!$F$32)*'Resid - BCase Base CF'!AG18*'Resid - Datos'!$O$7/(1+'Resid - Datos'!$O$13)</f>
        <v>95431.915264897936</v>
      </c>
      <c r="AH104" s="86">
        <f>+AH13*('Resid - Datos'!$F$28+'Resid - Datos'!$F$32)*'Resid - BCase Base CF'!AH18*'Resid - Datos'!$O$7/(1+'Resid - Datos'!$O$13)</f>
        <v>71573.936448673456</v>
      </c>
      <c r="AI104" s="86">
        <f>+AI13*('Resid - Datos'!$F$28+'Resid - Datos'!$F$32)*'Resid - BCase Base CF'!AI18*'Resid - Datos'!$O$7/(1+'Resid - Datos'!$O$13)</f>
        <v>71573.936448673456</v>
      </c>
      <c r="AJ104" s="86">
        <f>+AJ13*('Resid - Datos'!$F$28+'Resid - Datos'!$F$32)*'Resid - BCase Base CF'!AJ18*'Resid - Datos'!$O$7/(1+'Resid - Datos'!$O$13)</f>
        <v>71573.936448673456</v>
      </c>
      <c r="AK104" s="86">
        <f>+AK13*('Resid - Datos'!$F$28+'Resid - Datos'!$F$32)*'Resid - BCase Base CF'!AK18*'Resid - Datos'!$O$7/(1+'Resid - Datos'!$O$13)</f>
        <v>71573.936448673456</v>
      </c>
      <c r="AL104" s="86">
        <f>+AL13*('Resid - Datos'!$F$28+'Resid - Datos'!$F$32)*'Resid - BCase Base CF'!AL18*'Resid - Datos'!$O$7/(1+'Resid - Datos'!$O$13)</f>
        <v>71573.936448673456</v>
      </c>
      <c r="AM104" s="86">
        <f>+AM13*('Resid - Datos'!$F$28+'Resid - Datos'!$F$32)*'Resid - BCase Base CF'!AM18*'Resid - Datos'!$O$7/(1+'Resid - Datos'!$O$13)</f>
        <v>71573.936448673456</v>
      </c>
      <c r="AN104" s="86">
        <f>+AN13*('Resid - Datos'!$F$28+'Resid - Datos'!$F$32)*'Resid - BCase Base CF'!AN18*'Resid - Datos'!$O$7/(1+'Resid - Datos'!$O$13)</f>
        <v>71573.936448673456</v>
      </c>
      <c r="AO104" s="86">
        <f>+AO13*('Resid - Datos'!$F$28+'Resid - Datos'!$F$32)*'Resid - BCase Base CF'!AO18*'Resid - Datos'!$O$7/(1+'Resid - Datos'!$O$13)</f>
        <v>71573.936448673456</v>
      </c>
      <c r="AP104" s="86">
        <f>+AP13*('Resid - Datos'!$F$28+'Resid - Datos'!$F$32)*'Resid - BCase Base CF'!AP18*'Resid - Datos'!$O$7/(1+'Resid - Datos'!$O$13)</f>
        <v>71573.936448673456</v>
      </c>
      <c r="AQ104" s="86">
        <f>+AQ13*('Resid - Datos'!$F$28+'Resid - Datos'!$F$32)*'Resid - BCase Base CF'!AQ18*'Resid - Datos'!$O$7/(1+'Resid - Datos'!$O$13)</f>
        <v>71573.936448673456</v>
      </c>
      <c r="AR104" s="86">
        <f>+AR13*('Resid - Datos'!$F$28+'Resid - Datos'!$F$32)*'Resid - BCase Base CF'!AR18*'Resid - Datos'!$O$7/(1+'Resid - Datos'!$O$13)</f>
        <v>47715.957632448968</v>
      </c>
      <c r="AS104" s="86">
        <f>+AS13*('Resid - Datos'!$F$28+'Resid - Datos'!$F$32)*'Resid - BCase Base CF'!AS18*'Resid - Datos'!$O$7/(1+'Resid - Datos'!$O$13)</f>
        <v>47715.957632448968</v>
      </c>
      <c r="AT104" s="86">
        <f>+AT13*('Resid - Datos'!$F$28+'Resid - Datos'!$F$32)*'Resid - BCase Base CF'!AT18*'Resid - Datos'!$O$7/(1+'Resid - Datos'!$O$13)</f>
        <v>47715.957632448968</v>
      </c>
      <c r="AU104" s="86">
        <f>+AU13*('Resid - Datos'!$F$28+'Resid - Datos'!$F$32)*'Resid - BCase Base CF'!AU18*'Resid - Datos'!$O$7/(1+'Resid - Datos'!$O$13)</f>
        <v>47715.957632448968</v>
      </c>
      <c r="AV104" s="86">
        <f>+AV13*('Resid - Datos'!$F$28+'Resid - Datos'!$F$32)*'Resid - BCase Base CF'!AV18*'Resid - Datos'!$O$7/(1+'Resid - Datos'!$O$13)</f>
        <v>0</v>
      </c>
      <c r="AW104" s="86">
        <f>+AW13*('Resid - Datos'!$F$28+'Resid - Datos'!$F$32)*'Resid - BCase Base CF'!AW18*'Resid - Datos'!$O$7/(1+'Resid - Datos'!$O$13)</f>
        <v>0</v>
      </c>
      <c r="AX104" s="86">
        <f>+AX13*('Resid - Datos'!$F$28+'Resid - Datos'!$F$32)*'Resid - BCase Base CF'!AX18*'Resid - Datos'!$O$7/(1+'Resid - Datos'!$O$13)</f>
        <v>0</v>
      </c>
      <c r="AY104" s="86">
        <f>+AY13*('Resid - Datos'!$F$28+'Resid - Datos'!$F$32)*'Resid - BCase Base CF'!AY18*'Resid - Datos'!$O$7/(1+'Resid - Datos'!$O$13)</f>
        <v>0</v>
      </c>
      <c r="AZ104" s="86">
        <f>+AZ13*('Resid - Datos'!$F$28+'Resid - Datos'!$F$32)*'Resid - BCase Base CF'!AZ18*'Resid - Datos'!$O$7/(1+'Resid - Datos'!$O$13)</f>
        <v>0</v>
      </c>
      <c r="BA104" s="86">
        <f>+BA13*('Resid - Datos'!$F$28+'Resid - Datos'!$F$32)*'Resid - BCase Base CF'!BA18*'Resid - Datos'!$O$7/(1+'Resid - Datos'!$O$13)</f>
        <v>0</v>
      </c>
      <c r="BB104" s="86">
        <f>+BB13*('Resid - Datos'!$F$28+'Resid - Datos'!$F$32)*'Resid - BCase Base CF'!BB18*'Resid - Datos'!$O$7/(1+'Resid - Datos'!$O$13)</f>
        <v>0</v>
      </c>
      <c r="BC104" s="86">
        <f>+BC13*('Resid - Datos'!$F$28+'Resid - Datos'!$F$32)*'Resid - BCase Base CF'!BC18*'Resid - Datos'!$O$7/(1+'Resid - Datos'!$O$13)</f>
        <v>0</v>
      </c>
      <c r="BD104" s="86">
        <f>+BD13*('Resid - Datos'!$F$28+'Resid - Datos'!$F$32)*'Resid - BCase Base CF'!BD18*'Resid - Datos'!$O$7/(1+'Resid - Datos'!$O$13)</f>
        <v>0</v>
      </c>
      <c r="BE104" s="86">
        <f>+BE13*('Resid - Datos'!$F$28+'Resid - Datos'!$F$32)*'Resid - BCase Base CF'!BE18*'Resid - Datos'!$O$7/(1+'Resid - Datos'!$O$13)</f>
        <v>0</v>
      </c>
      <c r="BF104" s="86">
        <f>+BF13*('Resid - Datos'!$F$28+'Resid - Datos'!$F$32)*'Resid - BCase Base CF'!BF18*'Resid - Datos'!$O$7/(1+'Resid - Datos'!$O$13)</f>
        <v>0</v>
      </c>
      <c r="BG104" s="86">
        <f>+BG13*('Resid - Datos'!$F$28+'Resid - Datos'!$F$32)*'Resid - BCase Base CF'!BG18*'Resid - Datos'!$O$7/(1+'Resid - Datos'!$O$13)</f>
        <v>0</v>
      </c>
      <c r="BH104" s="86">
        <f>+BH13*('Resid - Datos'!$F$28+'Resid - Datos'!$F$32)*'Resid - BCase Base CF'!BH18*'Resid - Datos'!$O$7/(1+'Resid - Datos'!$O$13)</f>
        <v>0</v>
      </c>
      <c r="BI104" s="86">
        <f>+BI13*('Resid - Datos'!$F$28+'Resid - Datos'!$F$32)*'Resid - BCase Base CF'!BI18*'Resid - Datos'!$O$7/(1+'Resid - Datos'!$O$13)</f>
        <v>0</v>
      </c>
      <c r="BJ104" s="86">
        <f>+BJ13*('Resid - Datos'!$F$28+'Resid - Datos'!$F$32)*'Resid - BCase Base CF'!BJ18*'Resid - Datos'!$O$7/(1+'Resid - Datos'!$O$13)</f>
        <v>0</v>
      </c>
      <c r="BK104" s="86">
        <f>+BK13*('Resid - Datos'!$F$28+'Resid - Datos'!$F$32)*'Resid - BCase Base CF'!BK18*'Resid - Datos'!$O$7/(1+'Resid - Datos'!$O$13)</f>
        <v>0</v>
      </c>
      <c r="BL104" s="86">
        <f>+BL13*('Resid - Datos'!$F$28+'Resid - Datos'!$F$32)*'Resid - BCase Base CF'!BL18*'Resid - Datos'!$O$7/(1+'Resid - Datos'!$O$13)</f>
        <v>0</v>
      </c>
      <c r="BM104" s="86">
        <f>+BM13*('Resid - Datos'!$F$28+'Resid - Datos'!$F$32)*'Resid - BCase Base CF'!BM18*'Resid - Datos'!$O$7/(1+'Resid - Datos'!$O$13)</f>
        <v>0</v>
      </c>
      <c r="BN104" s="86">
        <f>+BN13*('Resid - Datos'!$F$28+'Resid - Datos'!$F$32)*'Resid - BCase Base CF'!BN18*'Resid - Datos'!$O$7/(1+'Resid - Datos'!$O$13)</f>
        <v>0</v>
      </c>
      <c r="BO104" s="86">
        <f>+BO13*('Resid - Datos'!$F$28+'Resid - Datos'!$F$32)*'Resid - BCase Base CF'!BO18*'Resid - Datos'!$O$7/(1+'Resid - Datos'!$O$13)</f>
        <v>0</v>
      </c>
      <c r="BP104" s="86">
        <f>+BP13*('Resid - Datos'!$F$28+'Resid - Datos'!$F$32)*'Resid - BCase Base CF'!BP18*'Resid - Datos'!$O$7/(1+'Resid - Datos'!$O$13)</f>
        <v>0</v>
      </c>
      <c r="BQ104" s="86">
        <f>+BQ13*('Resid - Datos'!$F$28+'Resid - Datos'!$F$32)*'Resid - BCase Base CF'!BQ18*'Resid - Datos'!$O$7/(1+'Resid - Datos'!$O$13)</f>
        <v>0</v>
      </c>
    </row>
    <row r="105" spans="1:86" s="74" customFormat="1" ht="14" collapsed="1">
      <c r="A105" s="111" t="s">
        <v>200</v>
      </c>
      <c r="B105" s="662"/>
      <c r="C105" s="607">
        <f>SUM(D105:BQ105)</f>
        <v>28760538.253385346</v>
      </c>
      <c r="D105" s="89">
        <f t="shared" ref="D105:AI105" si="99">SUM(D101:D104)</f>
        <v>0</v>
      </c>
      <c r="E105" s="89">
        <f t="shared" si="99"/>
        <v>0</v>
      </c>
      <c r="F105" s="89">
        <f t="shared" si="99"/>
        <v>0</v>
      </c>
      <c r="G105" s="89">
        <f t="shared" si="99"/>
        <v>0</v>
      </c>
      <c r="H105" s="89">
        <f t="shared" si="99"/>
        <v>0</v>
      </c>
      <c r="I105" s="89">
        <f t="shared" si="99"/>
        <v>0</v>
      </c>
      <c r="J105" s="89">
        <f t="shared" si="99"/>
        <v>2645837.2274500802</v>
      </c>
      <c r="K105" s="89">
        <f t="shared" si="99"/>
        <v>2005947.2458113381</v>
      </c>
      <c r="L105" s="89">
        <f t="shared" si="99"/>
        <v>1757181.0282304336</v>
      </c>
      <c r="M105" s="89">
        <f t="shared" si="99"/>
        <v>1366057.2641725959</v>
      </c>
      <c r="N105" s="89">
        <f t="shared" si="99"/>
        <v>1387626.5893963736</v>
      </c>
      <c r="O105" s="89">
        <f t="shared" si="99"/>
        <v>1409195.9146201515</v>
      </c>
      <c r="P105" s="89">
        <f t="shared" si="99"/>
        <v>996502.82533853571</v>
      </c>
      <c r="Q105" s="89">
        <f t="shared" si="99"/>
        <v>1006568.5104429653</v>
      </c>
      <c r="R105" s="89">
        <f t="shared" si="99"/>
        <v>1006568.5104429653</v>
      </c>
      <c r="S105" s="89">
        <f t="shared" si="99"/>
        <v>726167.28253385355</v>
      </c>
      <c r="T105" s="89">
        <f t="shared" si="99"/>
        <v>733357.05760844622</v>
      </c>
      <c r="U105" s="89">
        <f t="shared" si="99"/>
        <v>740546.83268303866</v>
      </c>
      <c r="V105" s="89">
        <f t="shared" si="99"/>
        <v>598189.28620610514</v>
      </c>
      <c r="W105" s="89">
        <f t="shared" si="99"/>
        <v>603941.10626577924</v>
      </c>
      <c r="X105" s="89">
        <f t="shared" si="99"/>
        <v>603941.10626577924</v>
      </c>
      <c r="Y105" s="89">
        <f t="shared" si="99"/>
        <v>603941.10626577924</v>
      </c>
      <c r="Z105" s="89">
        <f t="shared" si="99"/>
        <v>603941.10626577924</v>
      </c>
      <c r="AA105" s="89">
        <f t="shared" si="99"/>
        <v>603941.10626577924</v>
      </c>
      <c r="AB105" s="89">
        <f t="shared" si="99"/>
        <v>603941.10626577924</v>
      </c>
      <c r="AC105" s="89">
        <f t="shared" si="99"/>
        <v>603941.10626577924</v>
      </c>
      <c r="AD105" s="89">
        <f t="shared" si="99"/>
        <v>603941.10626577924</v>
      </c>
      <c r="AE105" s="89">
        <f t="shared" si="99"/>
        <v>603941.10626577924</v>
      </c>
      <c r="AF105" s="89">
        <f t="shared" si="99"/>
        <v>603941.10626577924</v>
      </c>
      <c r="AG105" s="89">
        <f t="shared" si="99"/>
        <v>603941.10626577924</v>
      </c>
      <c r="AH105" s="89">
        <f t="shared" si="99"/>
        <v>452955.82969933434</v>
      </c>
      <c r="AI105" s="89">
        <f t="shared" si="99"/>
        <v>452955.82969933434</v>
      </c>
      <c r="AJ105" s="89">
        <f t="shared" ref="AJ105:BO105" si="100">SUM(AJ101:AJ104)</f>
        <v>452955.82969933434</v>
      </c>
      <c r="AK105" s="89">
        <f t="shared" si="100"/>
        <v>452955.82969933434</v>
      </c>
      <c r="AL105" s="89">
        <f t="shared" si="100"/>
        <v>452955.82969933434</v>
      </c>
      <c r="AM105" s="89">
        <f t="shared" si="100"/>
        <v>452955.82969933434</v>
      </c>
      <c r="AN105" s="89">
        <f t="shared" si="100"/>
        <v>452955.82969933434</v>
      </c>
      <c r="AO105" s="89">
        <f t="shared" si="100"/>
        <v>452955.82969933434</v>
      </c>
      <c r="AP105" s="89">
        <f t="shared" si="100"/>
        <v>452955.82969933434</v>
      </c>
      <c r="AQ105" s="89">
        <f t="shared" si="100"/>
        <v>452955.82969933434</v>
      </c>
      <c r="AR105" s="89">
        <f t="shared" si="100"/>
        <v>301970.55313288962</v>
      </c>
      <c r="AS105" s="89">
        <f t="shared" si="100"/>
        <v>301970.55313288962</v>
      </c>
      <c r="AT105" s="89">
        <f t="shared" si="100"/>
        <v>301970.55313288962</v>
      </c>
      <c r="AU105" s="89">
        <f t="shared" si="100"/>
        <v>301970.55313288962</v>
      </c>
      <c r="AV105" s="89">
        <f t="shared" si="100"/>
        <v>0</v>
      </c>
      <c r="AW105" s="89">
        <f t="shared" si="100"/>
        <v>0</v>
      </c>
      <c r="AX105" s="89">
        <f t="shared" si="100"/>
        <v>0</v>
      </c>
      <c r="AY105" s="89">
        <f t="shared" si="100"/>
        <v>0</v>
      </c>
      <c r="AZ105" s="89">
        <f t="shared" si="100"/>
        <v>0</v>
      </c>
      <c r="BA105" s="89">
        <f t="shared" si="100"/>
        <v>0</v>
      </c>
      <c r="BB105" s="89">
        <f t="shared" si="100"/>
        <v>0</v>
      </c>
      <c r="BC105" s="89">
        <f t="shared" si="100"/>
        <v>0</v>
      </c>
      <c r="BD105" s="89">
        <f t="shared" si="100"/>
        <v>0</v>
      </c>
      <c r="BE105" s="89">
        <f t="shared" si="100"/>
        <v>0</v>
      </c>
      <c r="BF105" s="89">
        <f t="shared" si="100"/>
        <v>0</v>
      </c>
      <c r="BG105" s="89">
        <f t="shared" si="100"/>
        <v>0</v>
      </c>
      <c r="BH105" s="89">
        <f t="shared" si="100"/>
        <v>0</v>
      </c>
      <c r="BI105" s="89">
        <f t="shared" si="100"/>
        <v>0</v>
      </c>
      <c r="BJ105" s="89">
        <f t="shared" si="100"/>
        <v>0</v>
      </c>
      <c r="BK105" s="89">
        <f t="shared" si="100"/>
        <v>0</v>
      </c>
      <c r="BL105" s="89">
        <f t="shared" si="100"/>
        <v>0</v>
      </c>
      <c r="BM105" s="89">
        <f t="shared" si="100"/>
        <v>0</v>
      </c>
      <c r="BN105" s="89">
        <f t="shared" si="100"/>
        <v>0</v>
      </c>
      <c r="BO105" s="89">
        <f t="shared" si="100"/>
        <v>0</v>
      </c>
      <c r="BP105" s="89">
        <f t="shared" ref="BP105:BQ105" si="101">SUM(BP101:BP104)</f>
        <v>0</v>
      </c>
      <c r="BQ105" s="89">
        <f t="shared" si="101"/>
        <v>0</v>
      </c>
    </row>
    <row r="106" spans="1:86" s="70" customFormat="1" ht="6" customHeight="1">
      <c r="A106" s="75"/>
      <c r="B106" s="132"/>
      <c r="C106" s="493"/>
    </row>
    <row r="107" spans="1:86" s="112" customFormat="1" ht="14">
      <c r="A107" s="107" t="s">
        <v>36</v>
      </c>
      <c r="B107" s="71"/>
      <c r="C107" s="16"/>
      <c r="D107" s="115"/>
      <c r="E107" s="115"/>
      <c r="F107" s="115"/>
      <c r="G107" s="115"/>
      <c r="H107" s="115"/>
      <c r="I107" s="115"/>
      <c r="J107" s="115"/>
      <c r="K107" s="115"/>
      <c r="L107" s="115"/>
      <c r="M107" s="115"/>
      <c r="N107" s="115"/>
      <c r="O107" s="115"/>
      <c r="P107" s="115"/>
      <c r="Q107" s="115"/>
      <c r="R107" s="115"/>
      <c r="S107" s="115"/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  <c r="AG107" s="115"/>
      <c r="AH107" s="115"/>
      <c r="AI107" s="115"/>
      <c r="AJ107" s="115"/>
      <c r="AK107" s="115"/>
      <c r="AL107" s="115"/>
      <c r="AM107" s="115"/>
      <c r="AN107" s="115"/>
      <c r="AO107" s="115"/>
      <c r="AP107" s="115"/>
      <c r="AQ107" s="115"/>
      <c r="AR107" s="115"/>
      <c r="AS107" s="115"/>
      <c r="AT107" s="115"/>
      <c r="AU107" s="115"/>
      <c r="AV107" s="115"/>
      <c r="AW107" s="115"/>
      <c r="AX107" s="115"/>
      <c r="AY107" s="115"/>
      <c r="AZ107" s="115"/>
      <c r="BA107" s="115"/>
      <c r="BB107" s="115"/>
      <c r="BC107" s="115"/>
      <c r="BD107" s="115"/>
      <c r="BE107" s="115"/>
      <c r="BF107" s="115"/>
      <c r="BG107" s="115"/>
      <c r="BH107" s="115"/>
      <c r="BI107" s="115"/>
      <c r="BJ107" s="115"/>
      <c r="BK107" s="115"/>
      <c r="BL107" s="115"/>
      <c r="BM107" s="115"/>
      <c r="BN107" s="115"/>
      <c r="BO107" s="115"/>
      <c r="BP107" s="115"/>
      <c r="BQ107" s="115"/>
    </row>
    <row r="108" spans="1:86" s="112" customFormat="1" ht="14" hidden="1" outlineLevel="1">
      <c r="A108" s="141" t="str">
        <f>A101</f>
        <v xml:space="preserve">     Módulo 1</v>
      </c>
      <c r="B108" s="663">
        <f>+'Resid - Datos'!D25</f>
        <v>32.625</v>
      </c>
      <c r="C108" s="610">
        <f>SUM(D108:BQ108)</f>
        <v>599065.98577002576</v>
      </c>
      <c r="D108" s="138">
        <f>+D10*D$19*$B108*'Resid - Datos'!$O$7/(1+'Resid - Datos'!$O$13)</f>
        <v>0</v>
      </c>
      <c r="E108" s="138">
        <f>+E10*E$19*$B108*'Resid - Datos'!$O$7/(1+'Resid - Datos'!$O$13)</f>
        <v>0</v>
      </c>
      <c r="F108" s="138">
        <f>+F10*F$19*$B108*'Resid - Datos'!$O$7/(1+'Resid - Datos'!$O$13)</f>
        <v>0</v>
      </c>
      <c r="G108" s="138">
        <f>+G10*G$19*$B108*'Resid - Datos'!$O$7/(1+'Resid - Datos'!$O$13)</f>
        <v>0</v>
      </c>
      <c r="H108" s="138">
        <f>+H10*H$19*$B108*'Resid - Datos'!$O$7/(1+'Resid - Datos'!$O$13)</f>
        <v>0</v>
      </c>
      <c r="I108" s="138">
        <f>+I10*I$19*$B108*'Resid - Datos'!$O$7/(1+'Resid - Datos'!$O$13)</f>
        <v>0</v>
      </c>
      <c r="J108" s="138">
        <f>+J10*J$19*$B108*'Resid - Datos'!$O$7/(1+'Resid - Datos'!$O$13)</f>
        <v>55111.315125086068</v>
      </c>
      <c r="K108" s="138">
        <f>+K10*K$19*$B108*'Resid - Datos'!$O$7/(1+'Resid - Datos'!$O$13)</f>
        <v>41782.763369290791</v>
      </c>
      <c r="L108" s="138">
        <f>+L10*L$19*$B108*'Resid - Datos'!$O$7/(1+'Resid - Datos'!$O$13)</f>
        <v>36601.101675464764</v>
      </c>
      <c r="M108" s="138">
        <f>+M10*M$19*$B108*'Resid - Datos'!$O$7/(1+'Resid - Datos'!$O$13)</f>
        <v>28454.211613495521</v>
      </c>
      <c r="N108" s="138">
        <f>+N10*N$19*$B108*'Resid - Datos'!$O$7/(1+'Resid - Datos'!$O$13)</f>
        <v>28903.488638971769</v>
      </c>
      <c r="O108" s="138">
        <f>+O10*O$19*$B108*'Resid - Datos'!$O$7/(1+'Resid - Datos'!$O$13)</f>
        <v>29352.765664448012</v>
      </c>
      <c r="P108" s="138">
        <f>+P10*P$19*$B108*'Resid - Datos'!$O$7/(1+'Resid - Datos'!$O$13)</f>
        <v>20756.598577002525</v>
      </c>
      <c r="Q108" s="138">
        <f>+Q10*Q$19*$B108*'Resid - Datos'!$O$7/(1+'Resid - Datos'!$O$13)</f>
        <v>20966.26118889144</v>
      </c>
      <c r="R108" s="138">
        <f>+R10*R$19*$B108*'Resid - Datos'!$O$7/(1+'Resid - Datos'!$O$13)</f>
        <v>20966.26118889144</v>
      </c>
      <c r="S108" s="138">
        <f>+S10*S$19*$B108*'Resid - Datos'!$O$7/(1+'Resid - Datos'!$O$13)</f>
        <v>15125.659857700251</v>
      </c>
      <c r="T108" s="138">
        <f>+T10*T$19*$B108*'Resid - Datos'!$O$7/(1+'Resid - Datos'!$O$13)</f>
        <v>15275.418866192333</v>
      </c>
      <c r="U108" s="138">
        <f>+U10*U$19*$B108*'Resid - Datos'!$O$7/(1+'Resid - Datos'!$O$13)</f>
        <v>15425.177874684416</v>
      </c>
      <c r="V108" s="138">
        <f>+V10*V$19*$B108*'Resid - Datos'!$O$7/(1+'Resid - Datos'!$O$13)</f>
        <v>12459.949506541197</v>
      </c>
      <c r="W108" s="138">
        <f>+W10*W$19*$B108*'Resid - Datos'!$O$7/(1+'Resid - Datos'!$O$13)</f>
        <v>12579.756713334862</v>
      </c>
      <c r="X108" s="138">
        <f>+X10*X$19*$B108*'Resid - Datos'!$O$7/(1+'Resid - Datos'!$O$13)</f>
        <v>12579.756713334862</v>
      </c>
      <c r="Y108" s="138">
        <f>+Y10*Y$19*$B108*'Resid - Datos'!$O$7/(1+'Resid - Datos'!$O$13)</f>
        <v>12579.756713334862</v>
      </c>
      <c r="Z108" s="138">
        <f>+Z10*Z$19*$B108*'Resid - Datos'!$O$7/(1+'Resid - Datos'!$O$13)</f>
        <v>12579.756713334862</v>
      </c>
      <c r="AA108" s="138">
        <f>+AA10*AA$19*$B108*'Resid - Datos'!$O$7/(1+'Resid - Datos'!$O$13)</f>
        <v>12579.756713334862</v>
      </c>
      <c r="AB108" s="138">
        <f>+AB10*AB$19*$B108*'Resid - Datos'!$O$7/(1+'Resid - Datos'!$O$13)</f>
        <v>12579.756713334862</v>
      </c>
      <c r="AC108" s="138">
        <f>+AC10*AC$19*$B108*'Resid - Datos'!$O$7/(1+'Resid - Datos'!$O$13)</f>
        <v>12579.756713334862</v>
      </c>
      <c r="AD108" s="138">
        <f>+AD10*AD$19*$B108*'Resid - Datos'!$O$7/(1+'Resid - Datos'!$O$13)</f>
        <v>12579.756713334862</v>
      </c>
      <c r="AE108" s="138">
        <f>+AE10*AE$19*$B108*'Resid - Datos'!$O$7/(1+'Resid - Datos'!$O$13)</f>
        <v>12579.756713334862</v>
      </c>
      <c r="AF108" s="138">
        <f>+AF10*AF$19*$B108*'Resid - Datos'!$O$7/(1+'Resid - Datos'!$O$13)</f>
        <v>12579.756713334862</v>
      </c>
      <c r="AG108" s="138">
        <f>+AG10*AG$19*$B108*'Resid - Datos'!$O$7/(1+'Resid - Datos'!$O$13)</f>
        <v>12579.756713334862</v>
      </c>
      <c r="AH108" s="138">
        <f>+AH10*AH$19*$B108*'Resid - Datos'!$O$7/(1+'Resid - Datos'!$O$13)</f>
        <v>9434.8175350011479</v>
      </c>
      <c r="AI108" s="138">
        <f>+AI10*AI$19*$B108*'Resid - Datos'!$O$7/(1+'Resid - Datos'!$O$13)</f>
        <v>9434.8175350011479</v>
      </c>
      <c r="AJ108" s="138">
        <f>+AJ10*AJ$19*$B108*'Resid - Datos'!$O$7/(1+'Resid - Datos'!$O$13)</f>
        <v>9434.8175350011479</v>
      </c>
      <c r="AK108" s="138">
        <f>+AK10*AK$19*$B108*'Resid - Datos'!$O$7/(1+'Resid - Datos'!$O$13)</f>
        <v>9434.8175350011479</v>
      </c>
      <c r="AL108" s="138">
        <f>+AL10*AL$19*$B108*'Resid - Datos'!$O$7/(1+'Resid - Datos'!$O$13)</f>
        <v>9434.8175350011479</v>
      </c>
      <c r="AM108" s="138">
        <f>+AM10*AM$19*$B108*'Resid - Datos'!$O$7/(1+'Resid - Datos'!$O$13)</f>
        <v>9434.8175350011479</v>
      </c>
      <c r="AN108" s="138">
        <f>+AN10*AN$19*$B108*'Resid - Datos'!$O$7/(1+'Resid - Datos'!$O$13)</f>
        <v>9434.8175350011479</v>
      </c>
      <c r="AO108" s="138">
        <f>+AO10*AO$19*$B108*'Resid - Datos'!$O$7/(1+'Resid - Datos'!$O$13)</f>
        <v>9434.8175350011479</v>
      </c>
      <c r="AP108" s="138">
        <f>+AP10*AP$19*$B108*'Resid - Datos'!$O$7/(1+'Resid - Datos'!$O$13)</f>
        <v>9434.8175350011479</v>
      </c>
      <c r="AQ108" s="138">
        <f>+AQ10*AQ$19*$B108*'Resid - Datos'!$O$7/(1+'Resid - Datos'!$O$13)</f>
        <v>9434.8175350011479</v>
      </c>
      <c r="AR108" s="138">
        <f>+AR10*AR$19*$B108*'Resid - Datos'!$O$7/(1+'Resid - Datos'!$O$13)</f>
        <v>6289.878356667431</v>
      </c>
      <c r="AS108" s="138">
        <f>+AS10*AS$19*$B108*'Resid - Datos'!$O$7/(1+'Resid - Datos'!$O$13)</f>
        <v>6289.878356667431</v>
      </c>
      <c r="AT108" s="138">
        <f>+AT10*AT$19*$B108*'Resid - Datos'!$O$7/(1+'Resid - Datos'!$O$13)</f>
        <v>6289.878356667431</v>
      </c>
      <c r="AU108" s="138">
        <f>+AU10*AU$19*$B108*'Resid - Datos'!$O$7/(1+'Resid - Datos'!$O$13)</f>
        <v>6289.878356667431</v>
      </c>
      <c r="AV108" s="138">
        <f>+AV10*AV$19*$B108*'Resid - Datos'!$O$7/(1+'Resid - Datos'!$O$13)</f>
        <v>0</v>
      </c>
      <c r="AW108" s="138">
        <f>+AW10*AW$19*$B108*'Resid - Datos'!$O$7/(1+'Resid - Datos'!$O$13)</f>
        <v>0</v>
      </c>
      <c r="AX108" s="138">
        <f>+AX10*AX$19*$B108*'Resid - Datos'!$O$7/(1+'Resid - Datos'!$O$13)</f>
        <v>0</v>
      </c>
      <c r="AY108" s="138">
        <f>+AY10*AY$19*$B108*'Resid - Datos'!$O$7/(1+'Resid - Datos'!$O$13)</f>
        <v>0</v>
      </c>
      <c r="AZ108" s="138">
        <f>+AZ10*AZ$19*$B108*'Resid - Datos'!$O$7/(1+'Resid - Datos'!$O$13)</f>
        <v>0</v>
      </c>
      <c r="BA108" s="138">
        <f>+BA10*BA$19*$B108*'Resid - Datos'!$O$7/(1+'Resid - Datos'!$O$13)</f>
        <v>0</v>
      </c>
      <c r="BB108" s="138">
        <f>+BB10*BB$19*$B108*'Resid - Datos'!$O$7/(1+'Resid - Datos'!$O$13)</f>
        <v>0</v>
      </c>
      <c r="BC108" s="138">
        <f>+BC10*BC$19*$B108*'Resid - Datos'!$O$7/(1+'Resid - Datos'!$O$13)</f>
        <v>0</v>
      </c>
      <c r="BD108" s="138">
        <f>+BD10*BD$19*$B108*'Resid - Datos'!$O$7/(1+'Resid - Datos'!$O$13)</f>
        <v>0</v>
      </c>
      <c r="BE108" s="138">
        <f>+BE10*BE$19*$B108*'Resid - Datos'!$O$7/(1+'Resid - Datos'!$O$13)</f>
        <v>0</v>
      </c>
      <c r="BF108" s="138">
        <f>+BF10*BF$19*$B108*'Resid - Datos'!$O$7/(1+'Resid - Datos'!$O$13)</f>
        <v>0</v>
      </c>
      <c r="BG108" s="138">
        <f>+BG10*BG$19*$B108*'Resid - Datos'!$O$7/(1+'Resid - Datos'!$O$13)</f>
        <v>0</v>
      </c>
      <c r="BH108" s="138">
        <f>+BH10*BH$19*$B108*'Resid - Datos'!$O$7/(1+'Resid - Datos'!$O$13)</f>
        <v>0</v>
      </c>
      <c r="BI108" s="138">
        <f>+BI10*BI$19*$B108*'Resid - Datos'!$O$7/(1+'Resid - Datos'!$O$13)</f>
        <v>0</v>
      </c>
      <c r="BJ108" s="138">
        <f>+BJ10*BJ$19*$B108*'Resid - Datos'!$O$7/(1+'Resid - Datos'!$O$13)</f>
        <v>0</v>
      </c>
      <c r="BK108" s="138">
        <f>+BK10*BK$19*$B108*'Resid - Datos'!$O$7/(1+'Resid - Datos'!$O$13)</f>
        <v>0</v>
      </c>
      <c r="BL108" s="138">
        <f>+BL10*BL$19*$B108*'Resid - Datos'!$O$7/(1+'Resid - Datos'!$O$13)</f>
        <v>0</v>
      </c>
      <c r="BM108" s="138">
        <f>+BM10*BM$19*$B108*'Resid - Datos'!$O$7/(1+'Resid - Datos'!$O$13)</f>
        <v>0</v>
      </c>
      <c r="BN108" s="138">
        <f>+BN10*BN$19*$B108*'Resid - Datos'!$O$7/(1+'Resid - Datos'!$O$13)</f>
        <v>0</v>
      </c>
      <c r="BO108" s="138">
        <f>+BO10*BO$19*$B108*'Resid - Datos'!$O$7/(1+'Resid - Datos'!$O$13)</f>
        <v>0</v>
      </c>
      <c r="BP108" s="138">
        <f>+BP10*BP$19*$B108*'Resid - Datos'!$O$7/(1+'Resid - Datos'!$O$13)</f>
        <v>0</v>
      </c>
      <c r="BQ108" s="138">
        <f>+BQ10*BQ$19*$B108*'Resid - Datos'!$O$7/(1+'Resid - Datos'!$O$13)</f>
        <v>0</v>
      </c>
    </row>
    <row r="109" spans="1:86" s="112" customFormat="1" ht="14" hidden="1" outlineLevel="1">
      <c r="A109" s="142" t="str">
        <f>A102</f>
        <v xml:space="preserve">     Módulo 2</v>
      </c>
      <c r="B109" s="664">
        <f>+'Resid - Datos'!D26</f>
        <v>31.900000000000002</v>
      </c>
      <c r="C109" s="633">
        <f>SUM(D109:BQ109)</f>
        <v>585753.40830846911</v>
      </c>
      <c r="D109" s="139">
        <f>+D11*D$19*$B109*'Resid - Datos'!$O$7/(1+'Resid - Datos'!$O$13)</f>
        <v>0</v>
      </c>
      <c r="E109" s="139">
        <f>+E11*E$19*$B109*'Resid - Datos'!$O$7/(1+'Resid - Datos'!$O$13)</f>
        <v>0</v>
      </c>
      <c r="F109" s="139">
        <f>+F11*F$19*$B109*'Resid - Datos'!$O$7/(1+'Resid - Datos'!$O$13)</f>
        <v>0</v>
      </c>
      <c r="G109" s="139">
        <f>+G11*G$19*$B109*'Resid - Datos'!$O$7/(1+'Resid - Datos'!$O$13)</f>
        <v>0</v>
      </c>
      <c r="H109" s="139">
        <f>+H11*H$19*$B109*'Resid - Datos'!$O$7/(1+'Resid - Datos'!$O$13)</f>
        <v>0</v>
      </c>
      <c r="I109" s="139">
        <f>+I11*I$19*$B109*'Resid - Datos'!$O$7/(1+'Resid - Datos'!$O$13)</f>
        <v>0</v>
      </c>
      <c r="J109" s="139">
        <f>+J11*J$19*$B109*'Resid - Datos'!$O$7/(1+'Resid - Datos'!$O$13)</f>
        <v>53886.619233417492</v>
      </c>
      <c r="K109" s="139">
        <f>+K11*K$19*$B109*'Resid - Datos'!$O$7/(1+'Resid - Datos'!$O$13)</f>
        <v>40854.257516639889</v>
      </c>
      <c r="L109" s="139">
        <f>+L11*L$19*$B109*'Resid - Datos'!$O$7/(1+'Resid - Datos'!$O$13)</f>
        <v>35787.743860454444</v>
      </c>
      <c r="M109" s="139">
        <f>+M11*M$19*$B109*'Resid - Datos'!$O$7/(1+'Resid - Datos'!$O$13)</f>
        <v>27821.895799862294</v>
      </c>
      <c r="N109" s="139">
        <f>+N11*N$19*$B109*'Resid - Datos'!$O$7/(1+'Resid - Datos'!$O$13)</f>
        <v>28261.188891439066</v>
      </c>
      <c r="O109" s="139">
        <f>+O11*O$19*$B109*'Resid - Datos'!$O$7/(1+'Resid - Datos'!$O$13)</f>
        <v>28700.481983015838</v>
      </c>
      <c r="P109" s="139">
        <f>+P11*P$19*$B109*'Resid - Datos'!$O$7/(1+'Resid - Datos'!$O$13)</f>
        <v>20295.340830846915</v>
      </c>
      <c r="Q109" s="139">
        <f>+Q11*Q$19*$B109*'Resid - Datos'!$O$7/(1+'Resid - Datos'!$O$13)</f>
        <v>20500.344273582741</v>
      </c>
      <c r="R109" s="139">
        <f>+R11*R$19*$B109*'Resid - Datos'!$O$7/(1+'Resid - Datos'!$O$13)</f>
        <v>20500.344273582741</v>
      </c>
      <c r="S109" s="139">
        <f>+S11*S$19*$B109*'Resid - Datos'!$O$7/(1+'Resid - Datos'!$O$13)</f>
        <v>14789.534083084693</v>
      </c>
      <c r="T109" s="139">
        <f>+T11*T$19*$B109*'Resid - Datos'!$O$7/(1+'Resid - Datos'!$O$13)</f>
        <v>14935.965113610284</v>
      </c>
      <c r="U109" s="139">
        <f>+U11*U$19*$B109*'Resid - Datos'!$O$7/(1+'Resid - Datos'!$O$13)</f>
        <v>15082.396144135873</v>
      </c>
      <c r="V109" s="139">
        <f>+V11*V$19*$B109*'Resid - Datos'!$O$7/(1+'Resid - Datos'!$O$13)</f>
        <v>12183.061739729172</v>
      </c>
      <c r="W109" s="139">
        <f>+W11*W$19*$B109*'Resid - Datos'!$O$7/(1+'Resid - Datos'!$O$13)</f>
        <v>12300.206564149643</v>
      </c>
      <c r="X109" s="139">
        <f>+X11*X$19*$B109*'Resid - Datos'!$O$7/(1+'Resid - Datos'!$O$13)</f>
        <v>12300.206564149643</v>
      </c>
      <c r="Y109" s="139">
        <f>+Y11*Y$19*$B109*'Resid - Datos'!$O$7/(1+'Resid - Datos'!$O$13)</f>
        <v>12300.206564149643</v>
      </c>
      <c r="Z109" s="139">
        <f>+Z11*Z$19*$B109*'Resid - Datos'!$O$7/(1+'Resid - Datos'!$O$13)</f>
        <v>12300.206564149643</v>
      </c>
      <c r="AA109" s="139">
        <f>+AA11*AA$19*$B109*'Resid - Datos'!$O$7/(1+'Resid - Datos'!$O$13)</f>
        <v>12300.206564149643</v>
      </c>
      <c r="AB109" s="139">
        <f>+AB11*AB$19*$B109*'Resid - Datos'!$O$7/(1+'Resid - Datos'!$O$13)</f>
        <v>12300.206564149643</v>
      </c>
      <c r="AC109" s="139">
        <f>+AC11*AC$19*$B109*'Resid - Datos'!$O$7/(1+'Resid - Datos'!$O$13)</f>
        <v>12300.206564149643</v>
      </c>
      <c r="AD109" s="139">
        <f>+AD11*AD$19*$B109*'Resid - Datos'!$O$7/(1+'Resid - Datos'!$O$13)</f>
        <v>12300.206564149643</v>
      </c>
      <c r="AE109" s="139">
        <f>+AE11*AE$19*$B109*'Resid - Datos'!$O$7/(1+'Resid - Datos'!$O$13)</f>
        <v>12300.206564149643</v>
      </c>
      <c r="AF109" s="139">
        <f>+AF11*AF$19*$B109*'Resid - Datos'!$O$7/(1+'Resid - Datos'!$O$13)</f>
        <v>12300.206564149643</v>
      </c>
      <c r="AG109" s="139">
        <f>+AG11*AG$19*$B109*'Resid - Datos'!$O$7/(1+'Resid - Datos'!$O$13)</f>
        <v>12300.206564149643</v>
      </c>
      <c r="AH109" s="139">
        <f>+AH11*AH$19*$B109*'Resid - Datos'!$O$7/(1+'Resid - Datos'!$O$13)</f>
        <v>9225.1549231122335</v>
      </c>
      <c r="AI109" s="139">
        <f>+AI11*AI$19*$B109*'Resid - Datos'!$O$7/(1+'Resid - Datos'!$O$13)</f>
        <v>9225.1549231122335</v>
      </c>
      <c r="AJ109" s="139">
        <f>+AJ11*AJ$19*$B109*'Resid - Datos'!$O$7/(1+'Resid - Datos'!$O$13)</f>
        <v>9225.1549231122335</v>
      </c>
      <c r="AK109" s="139">
        <f>+AK11*AK$19*$B109*'Resid - Datos'!$O$7/(1+'Resid - Datos'!$O$13)</f>
        <v>9225.1549231122335</v>
      </c>
      <c r="AL109" s="139">
        <f>+AL11*AL$19*$B109*'Resid - Datos'!$O$7/(1+'Resid - Datos'!$O$13)</f>
        <v>9225.1549231122335</v>
      </c>
      <c r="AM109" s="139">
        <f>+AM11*AM$19*$B109*'Resid - Datos'!$O$7/(1+'Resid - Datos'!$O$13)</f>
        <v>9225.1549231122335</v>
      </c>
      <c r="AN109" s="139">
        <f>+AN11*AN$19*$B109*'Resid - Datos'!$O$7/(1+'Resid - Datos'!$O$13)</f>
        <v>9225.1549231122335</v>
      </c>
      <c r="AO109" s="139">
        <f>+AO11*AO$19*$B109*'Resid - Datos'!$O$7/(1+'Resid - Datos'!$O$13)</f>
        <v>9225.1549231122335</v>
      </c>
      <c r="AP109" s="139">
        <f>+AP11*AP$19*$B109*'Resid - Datos'!$O$7/(1+'Resid - Datos'!$O$13)</f>
        <v>9225.1549231122335</v>
      </c>
      <c r="AQ109" s="139">
        <f>+AQ11*AQ$19*$B109*'Resid - Datos'!$O$7/(1+'Resid - Datos'!$O$13)</f>
        <v>9225.1549231122335</v>
      </c>
      <c r="AR109" s="139">
        <f>+AR11*AR$19*$B109*'Resid - Datos'!$O$7/(1+'Resid - Datos'!$O$13)</f>
        <v>6150.1032820748214</v>
      </c>
      <c r="AS109" s="139">
        <f>+AS11*AS$19*$B109*'Resid - Datos'!$O$7/(1+'Resid - Datos'!$O$13)</f>
        <v>6150.1032820748214</v>
      </c>
      <c r="AT109" s="139">
        <f>+AT11*AT$19*$B109*'Resid - Datos'!$O$7/(1+'Resid - Datos'!$O$13)</f>
        <v>6150.1032820748214</v>
      </c>
      <c r="AU109" s="139">
        <f>+AU11*AU$19*$B109*'Resid - Datos'!$O$7/(1+'Resid - Datos'!$O$13)</f>
        <v>6150.1032820748214</v>
      </c>
      <c r="AV109" s="139">
        <f>+AV11*AV$19*$B109*'Resid - Datos'!$O$7/(1+'Resid - Datos'!$O$13)</f>
        <v>0</v>
      </c>
      <c r="AW109" s="139">
        <f>+AW11*AW$19*$B109*'Resid - Datos'!$O$7/(1+'Resid - Datos'!$O$13)</f>
        <v>0</v>
      </c>
      <c r="AX109" s="139">
        <f>+AX11*AX$19*$B109*'Resid - Datos'!$O$7/(1+'Resid - Datos'!$O$13)</f>
        <v>0</v>
      </c>
      <c r="AY109" s="139">
        <f>+AY11*AY$19*$B109*'Resid - Datos'!$O$7/(1+'Resid - Datos'!$O$13)</f>
        <v>0</v>
      </c>
      <c r="AZ109" s="139">
        <f>+AZ11*AZ$19*$B109*'Resid - Datos'!$O$7/(1+'Resid - Datos'!$O$13)</f>
        <v>0</v>
      </c>
      <c r="BA109" s="139">
        <f>+BA11*BA$19*$B109*'Resid - Datos'!$O$7/(1+'Resid - Datos'!$O$13)</f>
        <v>0</v>
      </c>
      <c r="BB109" s="139">
        <f>+BB11*BB$19*$B109*'Resid - Datos'!$O$7/(1+'Resid - Datos'!$O$13)</f>
        <v>0</v>
      </c>
      <c r="BC109" s="139">
        <f>+BC11*BC$19*$B109*'Resid - Datos'!$O$7/(1+'Resid - Datos'!$O$13)</f>
        <v>0</v>
      </c>
      <c r="BD109" s="139">
        <f>+BD11*BD$19*$B109*'Resid - Datos'!$O$7/(1+'Resid - Datos'!$O$13)</f>
        <v>0</v>
      </c>
      <c r="BE109" s="139">
        <f>+BE11*BE$19*$B109*'Resid - Datos'!$O$7/(1+'Resid - Datos'!$O$13)</f>
        <v>0</v>
      </c>
      <c r="BF109" s="139">
        <f>+BF11*BF$19*$B109*'Resid - Datos'!$O$7/(1+'Resid - Datos'!$O$13)</f>
        <v>0</v>
      </c>
      <c r="BG109" s="139">
        <f>+BG11*BG$19*$B109*'Resid - Datos'!$O$7/(1+'Resid - Datos'!$O$13)</f>
        <v>0</v>
      </c>
      <c r="BH109" s="139">
        <f>+BH11*BH$19*$B109*'Resid - Datos'!$O$7/(1+'Resid - Datos'!$O$13)</f>
        <v>0</v>
      </c>
      <c r="BI109" s="139">
        <f>+BI11*BI$19*$B109*'Resid - Datos'!$O$7/(1+'Resid - Datos'!$O$13)</f>
        <v>0</v>
      </c>
      <c r="BJ109" s="139">
        <f>+BJ11*BJ$19*$B109*'Resid - Datos'!$O$7/(1+'Resid - Datos'!$O$13)</f>
        <v>0</v>
      </c>
      <c r="BK109" s="139">
        <f>+BK11*BK$19*$B109*'Resid - Datos'!$O$7/(1+'Resid - Datos'!$O$13)</f>
        <v>0</v>
      </c>
      <c r="BL109" s="139">
        <f>+BL11*BL$19*$B109*'Resid - Datos'!$O$7/(1+'Resid - Datos'!$O$13)</f>
        <v>0</v>
      </c>
      <c r="BM109" s="139">
        <f>+BM11*BM$19*$B109*'Resid - Datos'!$O$7/(1+'Resid - Datos'!$O$13)</f>
        <v>0</v>
      </c>
      <c r="BN109" s="139">
        <f>+BN11*BN$19*$B109*'Resid - Datos'!$O$7/(1+'Resid - Datos'!$O$13)</f>
        <v>0</v>
      </c>
      <c r="BO109" s="139">
        <f>+BO11*BO$19*$B109*'Resid - Datos'!$O$7/(1+'Resid - Datos'!$O$13)</f>
        <v>0</v>
      </c>
      <c r="BP109" s="139">
        <f>+BP11*BP$19*$B109*'Resid - Datos'!$O$7/(1+'Resid - Datos'!$O$13)</f>
        <v>0</v>
      </c>
      <c r="BQ109" s="139">
        <f>+BQ11*BQ$19*$B109*'Resid - Datos'!$O$7/(1+'Resid - Datos'!$O$13)</f>
        <v>0</v>
      </c>
    </row>
    <row r="110" spans="1:86" s="112" customFormat="1" ht="14" hidden="1" outlineLevel="1">
      <c r="A110" s="142" t="str">
        <f>A103</f>
        <v xml:space="preserve">     Módulo 3</v>
      </c>
      <c r="B110" s="664">
        <f>+'Resid - Datos'!D27</f>
        <v>31.900000000000002</v>
      </c>
      <c r="C110" s="633">
        <f>SUM(D110:BQ110)</f>
        <v>585753.40830846911</v>
      </c>
      <c r="D110" s="139">
        <f>+D12*D$19*$B110*'Resid - Datos'!$O$7/(1+'Resid - Datos'!$O$13)</f>
        <v>0</v>
      </c>
      <c r="E110" s="139">
        <f>+E12*E$19*$B110*'Resid - Datos'!$O$7/(1+'Resid - Datos'!$O$13)</f>
        <v>0</v>
      </c>
      <c r="F110" s="139">
        <f>+F12*F$19*$B110*'Resid - Datos'!$O$7/(1+'Resid - Datos'!$O$13)</f>
        <v>0</v>
      </c>
      <c r="G110" s="139">
        <f>+G12*G$19*$B110*'Resid - Datos'!$O$7/(1+'Resid - Datos'!$O$13)</f>
        <v>0</v>
      </c>
      <c r="H110" s="139">
        <f>+H12*H$19*$B110*'Resid - Datos'!$O$7/(1+'Resid - Datos'!$O$13)</f>
        <v>0</v>
      </c>
      <c r="I110" s="139">
        <f>+I12*I$19*$B110*'Resid - Datos'!$O$7/(1+'Resid - Datos'!$O$13)</f>
        <v>0</v>
      </c>
      <c r="J110" s="139">
        <f>+J12*J$19*$B110*'Resid - Datos'!$O$7/(1+'Resid - Datos'!$O$13)</f>
        <v>53886.619233417492</v>
      </c>
      <c r="K110" s="139">
        <f>+K12*K$19*$B110*'Resid - Datos'!$O$7/(1+'Resid - Datos'!$O$13)</f>
        <v>40854.257516639889</v>
      </c>
      <c r="L110" s="139">
        <f>+L12*L$19*$B110*'Resid - Datos'!$O$7/(1+'Resid - Datos'!$O$13)</f>
        <v>35787.743860454444</v>
      </c>
      <c r="M110" s="139">
        <f>+M12*M$19*$B110*'Resid - Datos'!$O$7/(1+'Resid - Datos'!$O$13)</f>
        <v>27821.895799862294</v>
      </c>
      <c r="N110" s="139">
        <f>+N12*N$19*$B110*'Resid - Datos'!$O$7/(1+'Resid - Datos'!$O$13)</f>
        <v>28261.188891439066</v>
      </c>
      <c r="O110" s="139">
        <f>+O12*O$19*$B110*'Resid - Datos'!$O$7/(1+'Resid - Datos'!$O$13)</f>
        <v>28700.481983015838</v>
      </c>
      <c r="P110" s="139">
        <f>+P12*P$19*$B110*'Resid - Datos'!$O$7/(1+'Resid - Datos'!$O$13)</f>
        <v>20295.340830846915</v>
      </c>
      <c r="Q110" s="139">
        <f>+Q12*Q$19*$B110*'Resid - Datos'!$O$7/(1+'Resid - Datos'!$O$13)</f>
        <v>20500.344273582741</v>
      </c>
      <c r="R110" s="139">
        <f>+R12*R$19*$B110*'Resid - Datos'!$O$7/(1+'Resid - Datos'!$O$13)</f>
        <v>20500.344273582741</v>
      </c>
      <c r="S110" s="139">
        <f>+S12*S$19*$B110*'Resid - Datos'!$O$7/(1+'Resid - Datos'!$O$13)</f>
        <v>14789.534083084693</v>
      </c>
      <c r="T110" s="139">
        <f>+T12*T$19*$B110*'Resid - Datos'!$O$7/(1+'Resid - Datos'!$O$13)</f>
        <v>14935.965113610284</v>
      </c>
      <c r="U110" s="139">
        <f>+U12*U$19*$B110*'Resid - Datos'!$O$7/(1+'Resid - Datos'!$O$13)</f>
        <v>15082.396144135873</v>
      </c>
      <c r="V110" s="139">
        <f>+V12*V$19*$B110*'Resid - Datos'!$O$7/(1+'Resid - Datos'!$O$13)</f>
        <v>12183.061739729172</v>
      </c>
      <c r="W110" s="139">
        <f>+W12*W$19*$B110*'Resid - Datos'!$O$7/(1+'Resid - Datos'!$O$13)</f>
        <v>12300.206564149643</v>
      </c>
      <c r="X110" s="139">
        <f>+X12*X$19*$B110*'Resid - Datos'!$O$7/(1+'Resid - Datos'!$O$13)</f>
        <v>12300.206564149643</v>
      </c>
      <c r="Y110" s="139">
        <f>+Y12*Y$19*$B110*'Resid - Datos'!$O$7/(1+'Resid - Datos'!$O$13)</f>
        <v>12300.206564149643</v>
      </c>
      <c r="Z110" s="139">
        <f>+Z12*Z$19*$B110*'Resid - Datos'!$O$7/(1+'Resid - Datos'!$O$13)</f>
        <v>12300.206564149643</v>
      </c>
      <c r="AA110" s="139">
        <f>+AA12*AA$19*$B110*'Resid - Datos'!$O$7/(1+'Resid - Datos'!$O$13)</f>
        <v>12300.206564149643</v>
      </c>
      <c r="AB110" s="139">
        <f>+AB12*AB$19*$B110*'Resid - Datos'!$O$7/(1+'Resid - Datos'!$O$13)</f>
        <v>12300.206564149643</v>
      </c>
      <c r="AC110" s="139">
        <f>+AC12*AC$19*$B110*'Resid - Datos'!$O$7/(1+'Resid - Datos'!$O$13)</f>
        <v>12300.206564149643</v>
      </c>
      <c r="AD110" s="139">
        <f>+AD12*AD$19*$B110*'Resid - Datos'!$O$7/(1+'Resid - Datos'!$O$13)</f>
        <v>12300.206564149643</v>
      </c>
      <c r="AE110" s="139">
        <f>+AE12*AE$19*$B110*'Resid - Datos'!$O$7/(1+'Resid - Datos'!$O$13)</f>
        <v>12300.206564149643</v>
      </c>
      <c r="AF110" s="139">
        <f>+AF12*AF$19*$B110*'Resid - Datos'!$O$7/(1+'Resid - Datos'!$O$13)</f>
        <v>12300.206564149643</v>
      </c>
      <c r="AG110" s="139">
        <f>+AG12*AG$19*$B110*'Resid - Datos'!$O$7/(1+'Resid - Datos'!$O$13)</f>
        <v>12300.206564149643</v>
      </c>
      <c r="AH110" s="139">
        <f>+AH12*AH$19*$B110*'Resid - Datos'!$O$7/(1+'Resid - Datos'!$O$13)</f>
        <v>9225.1549231122335</v>
      </c>
      <c r="AI110" s="139">
        <f>+AI12*AI$19*$B110*'Resid - Datos'!$O$7/(1+'Resid - Datos'!$O$13)</f>
        <v>9225.1549231122335</v>
      </c>
      <c r="AJ110" s="139">
        <f>+AJ12*AJ$19*$B110*'Resid - Datos'!$O$7/(1+'Resid - Datos'!$O$13)</f>
        <v>9225.1549231122335</v>
      </c>
      <c r="AK110" s="139">
        <f>+AK12*AK$19*$B110*'Resid - Datos'!$O$7/(1+'Resid - Datos'!$O$13)</f>
        <v>9225.1549231122335</v>
      </c>
      <c r="AL110" s="139">
        <f>+AL12*AL$19*$B110*'Resid - Datos'!$O$7/(1+'Resid - Datos'!$O$13)</f>
        <v>9225.1549231122335</v>
      </c>
      <c r="AM110" s="139">
        <f>+AM12*AM$19*$B110*'Resid - Datos'!$O$7/(1+'Resid - Datos'!$O$13)</f>
        <v>9225.1549231122335</v>
      </c>
      <c r="AN110" s="139">
        <f>+AN12*AN$19*$B110*'Resid - Datos'!$O$7/(1+'Resid - Datos'!$O$13)</f>
        <v>9225.1549231122335</v>
      </c>
      <c r="AO110" s="139">
        <f>+AO12*AO$19*$B110*'Resid - Datos'!$O$7/(1+'Resid - Datos'!$O$13)</f>
        <v>9225.1549231122335</v>
      </c>
      <c r="AP110" s="139">
        <f>+AP12*AP$19*$B110*'Resid - Datos'!$O$7/(1+'Resid - Datos'!$O$13)</f>
        <v>9225.1549231122335</v>
      </c>
      <c r="AQ110" s="139">
        <f>+AQ12*AQ$19*$B110*'Resid - Datos'!$O$7/(1+'Resid - Datos'!$O$13)</f>
        <v>9225.1549231122335</v>
      </c>
      <c r="AR110" s="139">
        <f>+AR12*AR$19*$B110*'Resid - Datos'!$O$7/(1+'Resid - Datos'!$O$13)</f>
        <v>6150.1032820748214</v>
      </c>
      <c r="AS110" s="139">
        <f>+AS12*AS$19*$B110*'Resid - Datos'!$O$7/(1+'Resid - Datos'!$O$13)</f>
        <v>6150.1032820748214</v>
      </c>
      <c r="AT110" s="139">
        <f>+AT12*AT$19*$B110*'Resid - Datos'!$O$7/(1+'Resid - Datos'!$O$13)</f>
        <v>6150.1032820748214</v>
      </c>
      <c r="AU110" s="139">
        <f>+AU12*AU$19*$B110*'Resid - Datos'!$O$7/(1+'Resid - Datos'!$O$13)</f>
        <v>6150.1032820748214</v>
      </c>
      <c r="AV110" s="139">
        <f>+AV12*AV$19*$B110*'Resid - Datos'!$O$7/(1+'Resid - Datos'!$O$13)</f>
        <v>0</v>
      </c>
      <c r="AW110" s="139">
        <f>+AW12*AW$19*$B110*'Resid - Datos'!$O$7/(1+'Resid - Datos'!$O$13)</f>
        <v>0</v>
      </c>
      <c r="AX110" s="139">
        <f>+AX12*AX$19*$B110*'Resid - Datos'!$O$7/(1+'Resid - Datos'!$O$13)</f>
        <v>0</v>
      </c>
      <c r="AY110" s="139">
        <f>+AY12*AY$19*$B110*'Resid - Datos'!$O$7/(1+'Resid - Datos'!$O$13)</f>
        <v>0</v>
      </c>
      <c r="AZ110" s="139">
        <f>+AZ12*AZ$19*$B110*'Resid - Datos'!$O$7/(1+'Resid - Datos'!$O$13)</f>
        <v>0</v>
      </c>
      <c r="BA110" s="139">
        <f>+BA12*BA$19*$B110*'Resid - Datos'!$O$7/(1+'Resid - Datos'!$O$13)</f>
        <v>0</v>
      </c>
      <c r="BB110" s="139">
        <f>+BB12*BB$19*$B110*'Resid - Datos'!$O$7/(1+'Resid - Datos'!$O$13)</f>
        <v>0</v>
      </c>
      <c r="BC110" s="139">
        <f>+BC12*BC$19*$B110*'Resid - Datos'!$O$7/(1+'Resid - Datos'!$O$13)</f>
        <v>0</v>
      </c>
      <c r="BD110" s="139">
        <f>+BD12*BD$19*$B110*'Resid - Datos'!$O$7/(1+'Resid - Datos'!$O$13)</f>
        <v>0</v>
      </c>
      <c r="BE110" s="139">
        <f>+BE12*BE$19*$B110*'Resid - Datos'!$O$7/(1+'Resid - Datos'!$O$13)</f>
        <v>0</v>
      </c>
      <c r="BF110" s="139">
        <f>+BF12*BF$19*$B110*'Resid - Datos'!$O$7/(1+'Resid - Datos'!$O$13)</f>
        <v>0</v>
      </c>
      <c r="BG110" s="139">
        <f>+BG12*BG$19*$B110*'Resid - Datos'!$O$7/(1+'Resid - Datos'!$O$13)</f>
        <v>0</v>
      </c>
      <c r="BH110" s="139">
        <f>+BH12*BH$19*$B110*'Resid - Datos'!$O$7/(1+'Resid - Datos'!$O$13)</f>
        <v>0</v>
      </c>
      <c r="BI110" s="139">
        <f>+BI12*BI$19*$B110*'Resid - Datos'!$O$7/(1+'Resid - Datos'!$O$13)</f>
        <v>0</v>
      </c>
      <c r="BJ110" s="139">
        <f>+BJ12*BJ$19*$B110*'Resid - Datos'!$O$7/(1+'Resid - Datos'!$O$13)</f>
        <v>0</v>
      </c>
      <c r="BK110" s="139">
        <f>+BK12*BK$19*$B110*'Resid - Datos'!$O$7/(1+'Resid - Datos'!$O$13)</f>
        <v>0</v>
      </c>
      <c r="BL110" s="139">
        <f>+BL12*BL$19*$B110*'Resid - Datos'!$O$7/(1+'Resid - Datos'!$O$13)</f>
        <v>0</v>
      </c>
      <c r="BM110" s="139">
        <f>+BM12*BM$19*$B110*'Resid - Datos'!$O$7/(1+'Resid - Datos'!$O$13)</f>
        <v>0</v>
      </c>
      <c r="BN110" s="139">
        <f>+BN12*BN$19*$B110*'Resid - Datos'!$O$7/(1+'Resid - Datos'!$O$13)</f>
        <v>0</v>
      </c>
      <c r="BO110" s="139">
        <f>+BO12*BO$19*$B110*'Resid - Datos'!$O$7/(1+'Resid - Datos'!$O$13)</f>
        <v>0</v>
      </c>
      <c r="BP110" s="139">
        <f>+BP12*BP$19*$B110*'Resid - Datos'!$O$7/(1+'Resid - Datos'!$O$13)</f>
        <v>0</v>
      </c>
      <c r="BQ110" s="139">
        <f>+BQ12*BQ$19*$B110*'Resid - Datos'!$O$7/(1+'Resid - Datos'!$O$13)</f>
        <v>0</v>
      </c>
    </row>
    <row r="111" spans="1:86" s="112" customFormat="1" ht="14" hidden="1" outlineLevel="1">
      <c r="A111" s="142" t="str">
        <f>A104</f>
        <v xml:space="preserve">     Módulo 4</v>
      </c>
      <c r="B111" s="665">
        <f>+'Resid - Datos'!D28</f>
        <v>19.575000000000003</v>
      </c>
      <c r="C111" s="633">
        <f>SUM(D111:BQ111)</f>
        <v>359439.59146201512</v>
      </c>
      <c r="D111" s="139">
        <f>+D13*D$19*$B111*'Resid - Datos'!$O$7/(1+'Resid - Datos'!$O$13)</f>
        <v>0</v>
      </c>
      <c r="E111" s="139">
        <f>+E13*E$19*$B111*'Resid - Datos'!$O$7/(1+'Resid - Datos'!$O$13)</f>
        <v>0</v>
      </c>
      <c r="F111" s="139">
        <f>+F13*F$19*$B111*'Resid - Datos'!$O$7/(1+'Resid - Datos'!$O$13)</f>
        <v>0</v>
      </c>
      <c r="G111" s="139">
        <f>+G13*G$19*$B111*'Resid - Datos'!$O$7/(1+'Resid - Datos'!$O$13)</f>
        <v>0</v>
      </c>
      <c r="H111" s="139">
        <f>+H13*H$19*$B111*'Resid - Datos'!$O$7/(1+'Resid - Datos'!$O$13)</f>
        <v>0</v>
      </c>
      <c r="I111" s="139">
        <f>+I13*I$19*$B111*'Resid - Datos'!$O$7/(1+'Resid - Datos'!$O$13)</f>
        <v>0</v>
      </c>
      <c r="J111" s="139">
        <f>+J13*J$19*$B111*'Resid - Datos'!$O$7/(1+'Resid - Datos'!$O$13)</f>
        <v>33066.789075051645</v>
      </c>
      <c r="K111" s="139">
        <f>+K13*K$19*$B111*'Resid - Datos'!$O$7/(1+'Resid - Datos'!$O$13)</f>
        <v>25069.65802157448</v>
      </c>
      <c r="L111" s="139">
        <f>+L13*L$19*$B111*'Resid - Datos'!$O$7/(1+'Resid - Datos'!$O$13)</f>
        <v>21960.661005278864</v>
      </c>
      <c r="M111" s="139">
        <f>+M13*M$19*$B111*'Resid - Datos'!$O$7/(1+'Resid - Datos'!$O$13)</f>
        <v>17072.526968097318</v>
      </c>
      <c r="N111" s="139">
        <f>+N13*N$19*$B111*'Resid - Datos'!$O$7/(1+'Resid - Datos'!$O$13)</f>
        <v>17342.093183383065</v>
      </c>
      <c r="O111" s="139">
        <f>+O13*O$19*$B111*'Resid - Datos'!$O$7/(1+'Resid - Datos'!$O$13)</f>
        <v>17611.659398668813</v>
      </c>
      <c r="P111" s="139">
        <f>+P13*P$19*$B111*'Resid - Datos'!$O$7/(1+'Resid - Datos'!$O$13)</f>
        <v>12453.959146201518</v>
      </c>
      <c r="Q111" s="139">
        <f>+Q13*Q$19*$B111*'Resid - Datos'!$O$7/(1+'Resid - Datos'!$O$13)</f>
        <v>12579.756713334866</v>
      </c>
      <c r="R111" s="139">
        <f>+R13*R$19*$B111*'Resid - Datos'!$O$7/(1+'Resid - Datos'!$O$13)</f>
        <v>12579.756713334866</v>
      </c>
      <c r="S111" s="139">
        <f>+S13*S$19*$B111*'Resid - Datos'!$O$7/(1+'Resid - Datos'!$O$13)</f>
        <v>9075.3959146201523</v>
      </c>
      <c r="T111" s="139">
        <f>+T13*T$19*$B111*'Resid - Datos'!$O$7/(1+'Resid - Datos'!$O$13)</f>
        <v>9165.2513197154021</v>
      </c>
      <c r="U111" s="139">
        <f>+U13*U$19*$B111*'Resid - Datos'!$O$7/(1+'Resid - Datos'!$O$13)</f>
        <v>9255.1067248106501</v>
      </c>
      <c r="V111" s="139">
        <f>+V13*V$19*$B111*'Resid - Datos'!$O$7/(1+'Resid - Datos'!$O$13)</f>
        <v>7475.9697039247194</v>
      </c>
      <c r="W111" s="139">
        <f>+W13*W$19*$B111*'Resid - Datos'!$O$7/(1+'Resid - Datos'!$O$13)</f>
        <v>7547.8540280009192</v>
      </c>
      <c r="X111" s="139">
        <f>+X13*X$19*$B111*'Resid - Datos'!$O$7/(1+'Resid - Datos'!$O$13)</f>
        <v>7547.8540280009192</v>
      </c>
      <c r="Y111" s="139">
        <f>+Y13*Y$19*$B111*'Resid - Datos'!$O$7/(1+'Resid - Datos'!$O$13)</f>
        <v>7547.8540280009192</v>
      </c>
      <c r="Z111" s="139">
        <f>+Z13*Z$19*$B111*'Resid - Datos'!$O$7/(1+'Resid - Datos'!$O$13)</f>
        <v>7547.8540280009192</v>
      </c>
      <c r="AA111" s="139">
        <f>+AA13*AA$19*$B111*'Resid - Datos'!$O$7/(1+'Resid - Datos'!$O$13)</f>
        <v>7547.8540280009192</v>
      </c>
      <c r="AB111" s="139">
        <f>+AB13*AB$19*$B111*'Resid - Datos'!$O$7/(1+'Resid - Datos'!$O$13)</f>
        <v>7547.8540280009192</v>
      </c>
      <c r="AC111" s="139">
        <f>+AC13*AC$19*$B111*'Resid - Datos'!$O$7/(1+'Resid - Datos'!$O$13)</f>
        <v>7547.8540280009192</v>
      </c>
      <c r="AD111" s="139">
        <f>+AD13*AD$19*$B111*'Resid - Datos'!$O$7/(1+'Resid - Datos'!$O$13)</f>
        <v>7547.8540280009192</v>
      </c>
      <c r="AE111" s="139">
        <f>+AE13*AE$19*$B111*'Resid - Datos'!$O$7/(1+'Resid - Datos'!$O$13)</f>
        <v>7547.8540280009192</v>
      </c>
      <c r="AF111" s="139">
        <f>+AF13*AF$19*$B111*'Resid - Datos'!$O$7/(1+'Resid - Datos'!$O$13)</f>
        <v>7547.8540280009192</v>
      </c>
      <c r="AG111" s="139">
        <f>+AG13*AG$19*$B111*'Resid - Datos'!$O$7/(1+'Resid - Datos'!$O$13)</f>
        <v>7547.8540280009192</v>
      </c>
      <c r="AH111" s="139">
        <f>+AH13*AH$19*$B111*'Resid - Datos'!$O$7/(1+'Resid - Datos'!$O$13)</f>
        <v>5660.8905210006888</v>
      </c>
      <c r="AI111" s="139">
        <f>+AI13*AI$19*$B111*'Resid - Datos'!$O$7/(1+'Resid - Datos'!$O$13)</f>
        <v>5660.8905210006888</v>
      </c>
      <c r="AJ111" s="139">
        <f>+AJ13*AJ$19*$B111*'Resid - Datos'!$O$7/(1+'Resid - Datos'!$O$13)</f>
        <v>5660.8905210006888</v>
      </c>
      <c r="AK111" s="139">
        <f>+AK13*AK$19*$B111*'Resid - Datos'!$O$7/(1+'Resid - Datos'!$O$13)</f>
        <v>5660.8905210006888</v>
      </c>
      <c r="AL111" s="139">
        <f>+AL13*AL$19*$B111*'Resid - Datos'!$O$7/(1+'Resid - Datos'!$O$13)</f>
        <v>5660.8905210006888</v>
      </c>
      <c r="AM111" s="139">
        <f>+AM13*AM$19*$B111*'Resid - Datos'!$O$7/(1+'Resid - Datos'!$O$13)</f>
        <v>5660.8905210006888</v>
      </c>
      <c r="AN111" s="139">
        <f>+AN13*AN$19*$B111*'Resid - Datos'!$O$7/(1+'Resid - Datos'!$O$13)</f>
        <v>5660.8905210006888</v>
      </c>
      <c r="AO111" s="139">
        <f>+AO13*AO$19*$B111*'Resid - Datos'!$O$7/(1+'Resid - Datos'!$O$13)</f>
        <v>5660.8905210006888</v>
      </c>
      <c r="AP111" s="139">
        <f>+AP13*AP$19*$B111*'Resid - Datos'!$O$7/(1+'Resid - Datos'!$O$13)</f>
        <v>5660.8905210006888</v>
      </c>
      <c r="AQ111" s="139">
        <f>+AQ13*AQ$19*$B111*'Resid - Datos'!$O$7/(1+'Resid - Datos'!$O$13)</f>
        <v>5660.8905210006888</v>
      </c>
      <c r="AR111" s="139">
        <f>+AR13*AR$19*$B111*'Resid - Datos'!$O$7/(1+'Resid - Datos'!$O$13)</f>
        <v>3773.9270140004596</v>
      </c>
      <c r="AS111" s="139">
        <f>+AS13*AS$19*$B111*'Resid - Datos'!$O$7/(1+'Resid - Datos'!$O$13)</f>
        <v>3773.9270140004596</v>
      </c>
      <c r="AT111" s="139">
        <f>+AT13*AT$19*$B111*'Resid - Datos'!$O$7/(1+'Resid - Datos'!$O$13)</f>
        <v>3773.9270140004596</v>
      </c>
      <c r="AU111" s="139">
        <f>+AU13*AU$19*$B111*'Resid - Datos'!$O$7/(1+'Resid - Datos'!$O$13)</f>
        <v>3773.9270140004596</v>
      </c>
      <c r="AV111" s="139">
        <f>+AV13*AV$19*$B111*'Resid - Datos'!$O$7/(1+'Resid - Datos'!$O$13)</f>
        <v>0</v>
      </c>
      <c r="AW111" s="139">
        <f>+AW13*AW$19*$B111*'Resid - Datos'!$O$7/(1+'Resid - Datos'!$O$13)</f>
        <v>0</v>
      </c>
      <c r="AX111" s="139">
        <f>+AX13*AX$19*$B111*'Resid - Datos'!$O$7/(1+'Resid - Datos'!$O$13)</f>
        <v>0</v>
      </c>
      <c r="AY111" s="139">
        <f>+AY13*AY$19*$B111*'Resid - Datos'!$O$7/(1+'Resid - Datos'!$O$13)</f>
        <v>0</v>
      </c>
      <c r="AZ111" s="139">
        <f>+AZ13*AZ$19*$B111*'Resid - Datos'!$O$7/(1+'Resid - Datos'!$O$13)</f>
        <v>0</v>
      </c>
      <c r="BA111" s="139">
        <f>+BA13*BA$19*$B111*'Resid - Datos'!$O$7/(1+'Resid - Datos'!$O$13)</f>
        <v>0</v>
      </c>
      <c r="BB111" s="139">
        <f>+BB13*BB$19*$B111*'Resid - Datos'!$O$7/(1+'Resid - Datos'!$O$13)</f>
        <v>0</v>
      </c>
      <c r="BC111" s="139">
        <f>+BC13*BC$19*$B111*'Resid - Datos'!$O$7/(1+'Resid - Datos'!$O$13)</f>
        <v>0</v>
      </c>
      <c r="BD111" s="139">
        <f>+BD13*BD$19*$B111*'Resid - Datos'!$O$7/(1+'Resid - Datos'!$O$13)</f>
        <v>0</v>
      </c>
      <c r="BE111" s="139">
        <f>+BE13*BE$19*$B111*'Resid - Datos'!$O$7/(1+'Resid - Datos'!$O$13)</f>
        <v>0</v>
      </c>
      <c r="BF111" s="139">
        <f>+BF13*BF$19*$B111*'Resid - Datos'!$O$7/(1+'Resid - Datos'!$O$13)</f>
        <v>0</v>
      </c>
      <c r="BG111" s="139">
        <f>+BG13*BG$19*$B111*'Resid - Datos'!$O$7/(1+'Resid - Datos'!$O$13)</f>
        <v>0</v>
      </c>
      <c r="BH111" s="139">
        <f>+BH13*BH$19*$B111*'Resid - Datos'!$O$7/(1+'Resid - Datos'!$O$13)</f>
        <v>0</v>
      </c>
      <c r="BI111" s="139">
        <f>+BI13*BI$19*$B111*'Resid - Datos'!$O$7/(1+'Resid - Datos'!$O$13)</f>
        <v>0</v>
      </c>
      <c r="BJ111" s="139">
        <f>+BJ13*BJ$19*$B111*'Resid - Datos'!$O$7/(1+'Resid - Datos'!$O$13)</f>
        <v>0</v>
      </c>
      <c r="BK111" s="139">
        <f>+BK13*BK$19*$B111*'Resid - Datos'!$O$7/(1+'Resid - Datos'!$O$13)</f>
        <v>0</v>
      </c>
      <c r="BL111" s="139">
        <f>+BL13*BL$19*$B111*'Resid - Datos'!$O$7/(1+'Resid - Datos'!$O$13)</f>
        <v>0</v>
      </c>
      <c r="BM111" s="139">
        <f>+BM13*BM$19*$B111*'Resid - Datos'!$O$7/(1+'Resid - Datos'!$O$13)</f>
        <v>0</v>
      </c>
      <c r="BN111" s="139">
        <f>+BN13*BN$19*$B111*'Resid - Datos'!$O$7/(1+'Resid - Datos'!$O$13)</f>
        <v>0</v>
      </c>
      <c r="BO111" s="139">
        <f>+BO13*BO$19*$B111*'Resid - Datos'!$O$7/(1+'Resid - Datos'!$O$13)</f>
        <v>0</v>
      </c>
      <c r="BP111" s="139">
        <f>+BP13*BP$19*$B111*'Resid - Datos'!$O$7/(1+'Resid - Datos'!$O$13)</f>
        <v>0</v>
      </c>
      <c r="BQ111" s="139">
        <f>+BQ13*BQ$19*$B111*'Resid - Datos'!$O$7/(1+'Resid - Datos'!$O$13)</f>
        <v>0</v>
      </c>
    </row>
    <row r="112" spans="1:86" s="116" customFormat="1" ht="14" collapsed="1">
      <c r="A112" s="111" t="s">
        <v>65</v>
      </c>
      <c r="B112" s="634"/>
      <c r="C112" s="607">
        <f>SUM(D112:BQ112)</f>
        <v>2130012.3938489771</v>
      </c>
      <c r="D112" s="118">
        <f t="shared" ref="D112:AI112" si="102">SUM(D108:D111)</f>
        <v>0</v>
      </c>
      <c r="E112" s="118">
        <f t="shared" si="102"/>
        <v>0</v>
      </c>
      <c r="F112" s="118">
        <f t="shared" si="102"/>
        <v>0</v>
      </c>
      <c r="G112" s="118">
        <f t="shared" si="102"/>
        <v>0</v>
      </c>
      <c r="H112" s="118">
        <f t="shared" si="102"/>
        <v>0</v>
      </c>
      <c r="I112" s="118">
        <f t="shared" si="102"/>
        <v>0</v>
      </c>
      <c r="J112" s="118">
        <f t="shared" si="102"/>
        <v>195951.34266697269</v>
      </c>
      <c r="K112" s="118">
        <f t="shared" si="102"/>
        <v>148560.93642414507</v>
      </c>
      <c r="L112" s="118">
        <f t="shared" si="102"/>
        <v>130137.25040165252</v>
      </c>
      <c r="M112" s="118">
        <f t="shared" si="102"/>
        <v>101170.53018131742</v>
      </c>
      <c r="N112" s="118">
        <f t="shared" si="102"/>
        <v>102767.95960523297</v>
      </c>
      <c r="O112" s="118">
        <f t="shared" si="102"/>
        <v>104365.3890291485</v>
      </c>
      <c r="P112" s="118">
        <f t="shared" si="102"/>
        <v>73801.239384897868</v>
      </c>
      <c r="Q112" s="118">
        <f t="shared" si="102"/>
        <v>74546.706449391786</v>
      </c>
      <c r="R112" s="118">
        <f t="shared" si="102"/>
        <v>74546.706449391786</v>
      </c>
      <c r="S112" s="118">
        <f t="shared" si="102"/>
        <v>53780.123938489785</v>
      </c>
      <c r="T112" s="118">
        <f t="shared" si="102"/>
        <v>54312.600413128304</v>
      </c>
      <c r="U112" s="118">
        <f t="shared" si="102"/>
        <v>54845.076887766809</v>
      </c>
      <c r="V112" s="118">
        <f t="shared" si="102"/>
        <v>44302.042689924259</v>
      </c>
      <c r="W112" s="118">
        <f t="shared" si="102"/>
        <v>44728.023869635064</v>
      </c>
      <c r="X112" s="118">
        <f t="shared" si="102"/>
        <v>44728.023869635064</v>
      </c>
      <c r="Y112" s="118">
        <f t="shared" si="102"/>
        <v>44728.023869635064</v>
      </c>
      <c r="Z112" s="118">
        <f t="shared" si="102"/>
        <v>44728.023869635064</v>
      </c>
      <c r="AA112" s="118">
        <f t="shared" si="102"/>
        <v>44728.023869635064</v>
      </c>
      <c r="AB112" s="118">
        <f t="shared" si="102"/>
        <v>44728.023869635064</v>
      </c>
      <c r="AC112" s="118">
        <f t="shared" si="102"/>
        <v>44728.023869635064</v>
      </c>
      <c r="AD112" s="118">
        <f t="shared" si="102"/>
        <v>44728.023869635064</v>
      </c>
      <c r="AE112" s="118">
        <f t="shared" si="102"/>
        <v>44728.023869635064</v>
      </c>
      <c r="AF112" s="118">
        <f t="shared" si="102"/>
        <v>44728.023869635064</v>
      </c>
      <c r="AG112" s="118">
        <f t="shared" si="102"/>
        <v>44728.023869635064</v>
      </c>
      <c r="AH112" s="118">
        <f t="shared" si="102"/>
        <v>33546.017902226304</v>
      </c>
      <c r="AI112" s="118">
        <f t="shared" si="102"/>
        <v>33546.017902226304</v>
      </c>
      <c r="AJ112" s="118">
        <f t="shared" ref="AJ112:BO112" si="103">SUM(AJ108:AJ111)</f>
        <v>33546.017902226304</v>
      </c>
      <c r="AK112" s="118">
        <f t="shared" si="103"/>
        <v>33546.017902226304</v>
      </c>
      <c r="AL112" s="118">
        <f t="shared" si="103"/>
        <v>33546.017902226304</v>
      </c>
      <c r="AM112" s="118">
        <f t="shared" si="103"/>
        <v>33546.017902226304</v>
      </c>
      <c r="AN112" s="118">
        <f t="shared" si="103"/>
        <v>33546.017902226304</v>
      </c>
      <c r="AO112" s="118">
        <f t="shared" si="103"/>
        <v>33546.017902226304</v>
      </c>
      <c r="AP112" s="118">
        <f t="shared" si="103"/>
        <v>33546.017902226304</v>
      </c>
      <c r="AQ112" s="118">
        <f t="shared" si="103"/>
        <v>33546.017902226304</v>
      </c>
      <c r="AR112" s="118">
        <f t="shared" si="103"/>
        <v>22364.011934817532</v>
      </c>
      <c r="AS112" s="118">
        <f t="shared" si="103"/>
        <v>22364.011934817532</v>
      </c>
      <c r="AT112" s="118">
        <f t="shared" si="103"/>
        <v>22364.011934817532</v>
      </c>
      <c r="AU112" s="118">
        <f t="shared" si="103"/>
        <v>22364.011934817532</v>
      </c>
      <c r="AV112" s="118">
        <f t="shared" si="103"/>
        <v>0</v>
      </c>
      <c r="AW112" s="118">
        <f t="shared" si="103"/>
        <v>0</v>
      </c>
      <c r="AX112" s="118">
        <f t="shared" si="103"/>
        <v>0</v>
      </c>
      <c r="AY112" s="118">
        <f t="shared" si="103"/>
        <v>0</v>
      </c>
      <c r="AZ112" s="118">
        <f t="shared" si="103"/>
        <v>0</v>
      </c>
      <c r="BA112" s="118">
        <f t="shared" si="103"/>
        <v>0</v>
      </c>
      <c r="BB112" s="118">
        <f t="shared" si="103"/>
        <v>0</v>
      </c>
      <c r="BC112" s="118">
        <f t="shared" si="103"/>
        <v>0</v>
      </c>
      <c r="BD112" s="118">
        <f t="shared" si="103"/>
        <v>0</v>
      </c>
      <c r="BE112" s="118">
        <f t="shared" si="103"/>
        <v>0</v>
      </c>
      <c r="BF112" s="118">
        <f t="shared" si="103"/>
        <v>0</v>
      </c>
      <c r="BG112" s="118">
        <f t="shared" si="103"/>
        <v>0</v>
      </c>
      <c r="BH112" s="118">
        <f t="shared" si="103"/>
        <v>0</v>
      </c>
      <c r="BI112" s="118">
        <f t="shared" si="103"/>
        <v>0</v>
      </c>
      <c r="BJ112" s="118">
        <f t="shared" si="103"/>
        <v>0</v>
      </c>
      <c r="BK112" s="118">
        <f t="shared" si="103"/>
        <v>0</v>
      </c>
      <c r="BL112" s="118">
        <f t="shared" si="103"/>
        <v>0</v>
      </c>
      <c r="BM112" s="118">
        <f t="shared" si="103"/>
        <v>0</v>
      </c>
      <c r="BN112" s="118">
        <f t="shared" si="103"/>
        <v>0</v>
      </c>
      <c r="BO112" s="118">
        <f t="shared" si="103"/>
        <v>0</v>
      </c>
      <c r="BP112" s="118">
        <f t="shared" ref="BP112:BQ112" si="104">SUM(BP108:BP111)</f>
        <v>0</v>
      </c>
      <c r="BQ112" s="118">
        <f t="shared" si="104"/>
        <v>0</v>
      </c>
    </row>
    <row r="113" spans="1:69" s="70" customFormat="1" ht="6" customHeight="1">
      <c r="A113" s="77"/>
      <c r="B113" s="69"/>
      <c r="C113" s="493"/>
      <c r="D113" s="125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5"/>
      <c r="P113" s="125"/>
      <c r="Q113" s="125"/>
      <c r="R113" s="125"/>
      <c r="S113" s="125"/>
      <c r="T113" s="125"/>
      <c r="U113" s="125"/>
      <c r="V113" s="125"/>
      <c r="W113" s="125"/>
      <c r="X113" s="125"/>
      <c r="Y113" s="125"/>
      <c r="Z113" s="125"/>
      <c r="AA113" s="125"/>
      <c r="AB113" s="125"/>
      <c r="AC113" s="125"/>
      <c r="AD113" s="125"/>
      <c r="AE113" s="125"/>
      <c r="AF113" s="125"/>
      <c r="AG113" s="125"/>
      <c r="AH113" s="125"/>
      <c r="AI113" s="125"/>
      <c r="AJ113" s="125"/>
      <c r="AK113" s="125"/>
      <c r="AL113" s="125"/>
      <c r="AM113" s="125"/>
      <c r="AN113" s="125"/>
      <c r="AO113" s="125"/>
      <c r="AP113" s="125"/>
      <c r="AQ113" s="125"/>
      <c r="AR113" s="125"/>
      <c r="AS113" s="125"/>
      <c r="AT113" s="125"/>
      <c r="AU113" s="125"/>
      <c r="AV113" s="125"/>
      <c r="AW113" s="125"/>
      <c r="AX113" s="125"/>
      <c r="AY113" s="125"/>
      <c r="AZ113" s="125"/>
      <c r="BA113" s="125"/>
      <c r="BB113" s="125"/>
      <c r="BC113" s="125"/>
      <c r="BD113" s="125"/>
      <c r="BE113" s="125"/>
      <c r="BF113" s="125"/>
      <c r="BG113" s="125"/>
      <c r="BH113" s="125"/>
      <c r="BI113" s="125"/>
      <c r="BJ113" s="125"/>
      <c r="BK113" s="125"/>
      <c r="BL113" s="125"/>
      <c r="BM113" s="125"/>
      <c r="BN113" s="125"/>
      <c r="BO113" s="125"/>
      <c r="BP113" s="125"/>
      <c r="BQ113" s="125"/>
    </row>
    <row r="114" spans="1:69" s="116" customFormat="1" ht="14">
      <c r="A114" s="117" t="s">
        <v>66</v>
      </c>
      <c r="B114" s="634"/>
      <c r="C114" s="607">
        <f>SUM(D114:BQ114)</f>
        <v>30890550.647234313</v>
      </c>
      <c r="D114" s="117">
        <f t="shared" ref="D114:AI114" si="105">+D112+D105</f>
        <v>0</v>
      </c>
      <c r="E114" s="117">
        <f t="shared" si="105"/>
        <v>0</v>
      </c>
      <c r="F114" s="117">
        <f t="shared" si="105"/>
        <v>0</v>
      </c>
      <c r="G114" s="117">
        <f t="shared" si="105"/>
        <v>0</v>
      </c>
      <c r="H114" s="117">
        <f t="shared" si="105"/>
        <v>0</v>
      </c>
      <c r="I114" s="117">
        <f t="shared" si="105"/>
        <v>0</v>
      </c>
      <c r="J114" s="117">
        <f t="shared" si="105"/>
        <v>2841788.5701170531</v>
      </c>
      <c r="K114" s="117">
        <f t="shared" si="105"/>
        <v>2154508.1822354831</v>
      </c>
      <c r="L114" s="117">
        <f t="shared" si="105"/>
        <v>1887318.278632086</v>
      </c>
      <c r="M114" s="117">
        <f t="shared" si="105"/>
        <v>1467227.7943539133</v>
      </c>
      <c r="N114" s="117">
        <f t="shared" si="105"/>
        <v>1490394.5490016066</v>
      </c>
      <c r="O114" s="117">
        <f t="shared" si="105"/>
        <v>1513561.3036493</v>
      </c>
      <c r="P114" s="117">
        <f t="shared" si="105"/>
        <v>1070304.0647234335</v>
      </c>
      <c r="Q114" s="117">
        <f t="shared" si="105"/>
        <v>1081115.216892357</v>
      </c>
      <c r="R114" s="117">
        <f t="shared" si="105"/>
        <v>1081115.216892357</v>
      </c>
      <c r="S114" s="117">
        <f t="shared" si="105"/>
        <v>779947.40647234337</v>
      </c>
      <c r="T114" s="117">
        <f t="shared" si="105"/>
        <v>787669.65802157449</v>
      </c>
      <c r="U114" s="117">
        <f t="shared" si="105"/>
        <v>795391.9095708055</v>
      </c>
      <c r="V114" s="117">
        <f t="shared" si="105"/>
        <v>642491.32889602939</v>
      </c>
      <c r="W114" s="117">
        <f t="shared" si="105"/>
        <v>648669.13013541431</v>
      </c>
      <c r="X114" s="117">
        <f t="shared" si="105"/>
        <v>648669.13013541431</v>
      </c>
      <c r="Y114" s="117">
        <f t="shared" si="105"/>
        <v>648669.13013541431</v>
      </c>
      <c r="Z114" s="117">
        <f t="shared" si="105"/>
        <v>648669.13013541431</v>
      </c>
      <c r="AA114" s="117">
        <f t="shared" si="105"/>
        <v>648669.13013541431</v>
      </c>
      <c r="AB114" s="117">
        <f t="shared" si="105"/>
        <v>648669.13013541431</v>
      </c>
      <c r="AC114" s="117">
        <f t="shared" si="105"/>
        <v>648669.13013541431</v>
      </c>
      <c r="AD114" s="117">
        <f t="shared" si="105"/>
        <v>648669.13013541431</v>
      </c>
      <c r="AE114" s="117">
        <f t="shared" si="105"/>
        <v>648669.13013541431</v>
      </c>
      <c r="AF114" s="117">
        <f t="shared" si="105"/>
        <v>648669.13013541431</v>
      </c>
      <c r="AG114" s="117">
        <f t="shared" si="105"/>
        <v>648669.13013541431</v>
      </c>
      <c r="AH114" s="117">
        <f t="shared" si="105"/>
        <v>486501.84760156064</v>
      </c>
      <c r="AI114" s="117">
        <f t="shared" si="105"/>
        <v>486501.84760156064</v>
      </c>
      <c r="AJ114" s="117">
        <f t="shared" ref="AJ114:BO114" si="106">+AJ112+AJ105</f>
        <v>486501.84760156064</v>
      </c>
      <c r="AK114" s="117">
        <f t="shared" si="106"/>
        <v>486501.84760156064</v>
      </c>
      <c r="AL114" s="117">
        <f t="shared" si="106"/>
        <v>486501.84760156064</v>
      </c>
      <c r="AM114" s="117">
        <f t="shared" si="106"/>
        <v>486501.84760156064</v>
      </c>
      <c r="AN114" s="117">
        <f t="shared" si="106"/>
        <v>486501.84760156064</v>
      </c>
      <c r="AO114" s="117">
        <f t="shared" si="106"/>
        <v>486501.84760156064</v>
      </c>
      <c r="AP114" s="117">
        <f t="shared" si="106"/>
        <v>486501.84760156064</v>
      </c>
      <c r="AQ114" s="117">
        <f t="shared" si="106"/>
        <v>486501.84760156064</v>
      </c>
      <c r="AR114" s="117">
        <f t="shared" si="106"/>
        <v>324334.56506770715</v>
      </c>
      <c r="AS114" s="117">
        <f t="shared" si="106"/>
        <v>324334.56506770715</v>
      </c>
      <c r="AT114" s="117">
        <f t="shared" si="106"/>
        <v>324334.56506770715</v>
      </c>
      <c r="AU114" s="117">
        <f t="shared" si="106"/>
        <v>324334.56506770715</v>
      </c>
      <c r="AV114" s="117">
        <f t="shared" si="106"/>
        <v>0</v>
      </c>
      <c r="AW114" s="117">
        <f t="shared" si="106"/>
        <v>0</v>
      </c>
      <c r="AX114" s="117">
        <f t="shared" si="106"/>
        <v>0</v>
      </c>
      <c r="AY114" s="117">
        <f t="shared" si="106"/>
        <v>0</v>
      </c>
      <c r="AZ114" s="117">
        <f t="shared" si="106"/>
        <v>0</v>
      </c>
      <c r="BA114" s="117">
        <f t="shared" si="106"/>
        <v>0</v>
      </c>
      <c r="BB114" s="117">
        <f t="shared" si="106"/>
        <v>0</v>
      </c>
      <c r="BC114" s="117">
        <f t="shared" si="106"/>
        <v>0</v>
      </c>
      <c r="BD114" s="117">
        <f t="shared" si="106"/>
        <v>0</v>
      </c>
      <c r="BE114" s="117">
        <f t="shared" si="106"/>
        <v>0</v>
      </c>
      <c r="BF114" s="117">
        <f t="shared" si="106"/>
        <v>0</v>
      </c>
      <c r="BG114" s="117">
        <f t="shared" si="106"/>
        <v>0</v>
      </c>
      <c r="BH114" s="117">
        <f t="shared" si="106"/>
        <v>0</v>
      </c>
      <c r="BI114" s="117">
        <f t="shared" si="106"/>
        <v>0</v>
      </c>
      <c r="BJ114" s="117">
        <f t="shared" si="106"/>
        <v>0</v>
      </c>
      <c r="BK114" s="117">
        <f t="shared" si="106"/>
        <v>0</v>
      </c>
      <c r="BL114" s="117">
        <f t="shared" si="106"/>
        <v>0</v>
      </c>
      <c r="BM114" s="117">
        <f t="shared" si="106"/>
        <v>0</v>
      </c>
      <c r="BN114" s="117">
        <f t="shared" si="106"/>
        <v>0</v>
      </c>
      <c r="BO114" s="117">
        <f t="shared" si="106"/>
        <v>0</v>
      </c>
      <c r="BP114" s="117">
        <f t="shared" ref="BP114:BQ114" si="107">+BP112+BP105</f>
        <v>0</v>
      </c>
      <c r="BQ114" s="117">
        <f t="shared" si="107"/>
        <v>0</v>
      </c>
    </row>
    <row r="115" spans="1:69" s="116" customFormat="1" ht="6" customHeight="1">
      <c r="A115" s="102"/>
      <c r="B115" s="481"/>
      <c r="C115" s="481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>
        <f>SUM(D114:O114)</f>
        <v>11354798.677989442</v>
      </c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>
        <f>SUM(P114:AA114)</f>
        <v>9481380.4521459732</v>
      </c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>
        <f>SUM(AB114:AM114)</f>
        <v>6811025.8664218504</v>
      </c>
      <c r="AN115" s="102"/>
      <c r="AO115" s="102"/>
      <c r="AP115" s="102"/>
      <c r="AQ115" s="102"/>
      <c r="AR115" s="102"/>
      <c r="AS115" s="102"/>
      <c r="AT115" s="102"/>
      <c r="AU115" s="102"/>
      <c r="AV115" s="102"/>
      <c r="AW115" s="102"/>
      <c r="AX115" s="102"/>
      <c r="AY115" s="102">
        <f>SUM(AN114:AY114)</f>
        <v>3243345.650677071</v>
      </c>
      <c r="AZ115" s="102"/>
      <c r="BA115" s="102"/>
      <c r="BB115" s="102"/>
      <c r="BC115" s="102"/>
      <c r="BD115" s="102"/>
      <c r="BE115" s="102"/>
      <c r="BF115" s="102"/>
      <c r="BG115" s="102"/>
      <c r="BH115" s="102"/>
      <c r="BI115" s="102"/>
      <c r="BJ115" s="102"/>
      <c r="BK115" s="102"/>
      <c r="BL115" s="102"/>
      <c r="BM115" s="102"/>
      <c r="BN115" s="102"/>
      <c r="BO115" s="102"/>
      <c r="BP115" s="102"/>
      <c r="BQ115" s="102"/>
    </row>
    <row r="116" spans="1:69" s="89" customFormat="1" ht="14">
      <c r="A116" s="117" t="s">
        <v>326</v>
      </c>
      <c r="B116" s="634"/>
      <c r="C116" s="607">
        <f>C117+C118</f>
        <v>-17963622.359836001</v>
      </c>
      <c r="D116" s="117">
        <f>D10*$C$116</f>
        <v>0</v>
      </c>
      <c r="E116" s="117">
        <f>E10*$C$116</f>
        <v>0</v>
      </c>
      <c r="F116" s="117">
        <f>F10*$C$116</f>
        <v>0</v>
      </c>
      <c r="G116" s="117">
        <f>G10*$C$116</f>
        <v>0</v>
      </c>
      <c r="H116" s="117">
        <f>H10*$C$116</f>
        <v>0</v>
      </c>
      <c r="I116" s="117">
        <f>I10*$C$116</f>
        <v>0</v>
      </c>
      <c r="J116" s="117">
        <f>J10*$C$116</f>
        <v>-1796362.2359836001</v>
      </c>
      <c r="K116" s="117">
        <f>K10*$C$116</f>
        <v>-1347271.6769876999</v>
      </c>
      <c r="L116" s="117">
        <f>L10*$C$116</f>
        <v>-1167635.4533893401</v>
      </c>
      <c r="M116" s="117">
        <f>M10*$C$116</f>
        <v>-898181.11799180007</v>
      </c>
      <c r="N116" s="117">
        <f>N10*$C$116</f>
        <v>-898181.11799180007</v>
      </c>
      <c r="O116" s="117">
        <f>O10*$C$116</f>
        <v>-898181.11799180007</v>
      </c>
      <c r="P116" s="117">
        <f>P10*$C$116</f>
        <v>-628726.78259426006</v>
      </c>
      <c r="Q116" s="117">
        <f>Q10*$C$116</f>
        <v>-628726.78259426006</v>
      </c>
      <c r="R116" s="117">
        <f>R10*$C$116</f>
        <v>-628726.78259426006</v>
      </c>
      <c r="S116" s="117">
        <f>S10*$C$116</f>
        <v>-449090.55899590004</v>
      </c>
      <c r="T116" s="117">
        <f>T10*$C$116</f>
        <v>-449090.55899590004</v>
      </c>
      <c r="U116" s="117">
        <f>U10*$C$116</f>
        <v>-449090.55899590004</v>
      </c>
      <c r="V116" s="117">
        <f>V10*$C$116</f>
        <v>-359272.44719672005</v>
      </c>
      <c r="W116" s="117">
        <f>W10*$C$116</f>
        <v>-359272.44719672005</v>
      </c>
      <c r="X116" s="117">
        <f>X10*$C$116</f>
        <v>-359272.44719672005</v>
      </c>
      <c r="Y116" s="117">
        <f>Y10*$C$116</f>
        <v>-359272.44719672005</v>
      </c>
      <c r="Z116" s="117">
        <f>Z10*$C$116</f>
        <v>-359272.44719672005</v>
      </c>
      <c r="AA116" s="117">
        <f>AA10*$C$116</f>
        <v>-359272.44719672005</v>
      </c>
      <c r="AB116" s="117">
        <f>AB10*$C$116</f>
        <v>-359272.44719672005</v>
      </c>
      <c r="AC116" s="117">
        <f>AC10*$C$116</f>
        <v>-359272.44719672005</v>
      </c>
      <c r="AD116" s="117">
        <f>AD10*$C$116</f>
        <v>-359272.44719672005</v>
      </c>
      <c r="AE116" s="117">
        <f>AE10*$C$116</f>
        <v>-359272.44719672005</v>
      </c>
      <c r="AF116" s="117">
        <f>AF10*$C$116</f>
        <v>-359272.44719672005</v>
      </c>
      <c r="AG116" s="117">
        <f>AG10*$C$116</f>
        <v>-359272.44719672005</v>
      </c>
      <c r="AH116" s="117">
        <f>AH10*$C$116</f>
        <v>-269454.33539754001</v>
      </c>
      <c r="AI116" s="117">
        <f>AI10*$C$116</f>
        <v>-269454.33539754001</v>
      </c>
      <c r="AJ116" s="117">
        <f>AJ10*$C$116</f>
        <v>-269454.33539754001</v>
      </c>
      <c r="AK116" s="117">
        <f>AK10*$C$116</f>
        <v>-269454.33539754001</v>
      </c>
      <c r="AL116" s="117">
        <f>AL10*$C$116</f>
        <v>-269454.33539754001</v>
      </c>
      <c r="AM116" s="117">
        <f>AM10*$C$116</f>
        <v>-269454.33539754001</v>
      </c>
      <c r="AN116" s="117">
        <f>AN10*$C$116</f>
        <v>-269454.33539754001</v>
      </c>
      <c r="AO116" s="117">
        <f>AO10*$C$116</f>
        <v>-269454.33539754001</v>
      </c>
      <c r="AP116" s="117">
        <f>AP10*$C$116</f>
        <v>-269454.33539754001</v>
      </c>
      <c r="AQ116" s="117">
        <f>AQ10*$C$116</f>
        <v>-269454.33539754001</v>
      </c>
      <c r="AR116" s="117">
        <f>AR10*$C$116</f>
        <v>-179636.22359836003</v>
      </c>
      <c r="AS116" s="117">
        <f>AS10*$C$116</f>
        <v>-179636.22359836003</v>
      </c>
      <c r="AT116" s="117">
        <f>AT10*$C$116</f>
        <v>-179636.22359836003</v>
      </c>
      <c r="AU116" s="117">
        <f>AU10*$C$116</f>
        <v>-179636.22359836003</v>
      </c>
      <c r="AV116" s="117">
        <f>AV10*$C$116</f>
        <v>0</v>
      </c>
      <c r="AW116" s="117">
        <f>AW10*$C$116</f>
        <v>0</v>
      </c>
      <c r="AX116" s="117">
        <f>AX10*$C$116</f>
        <v>0</v>
      </c>
      <c r="AY116" s="117">
        <f>AY10*$C$116</f>
        <v>0</v>
      </c>
      <c r="AZ116" s="117">
        <f>AZ10*$C$116</f>
        <v>0</v>
      </c>
      <c r="BA116" s="117">
        <f>BA10*$C$116</f>
        <v>0</v>
      </c>
      <c r="BB116" s="117">
        <f>BB10*$C$116</f>
        <v>0</v>
      </c>
      <c r="BC116" s="117">
        <f>BC10*$C$116</f>
        <v>0</v>
      </c>
      <c r="BD116" s="117">
        <f>BD10*$C$116</f>
        <v>0</v>
      </c>
      <c r="BE116" s="117">
        <f>BE10*$C$116</f>
        <v>0</v>
      </c>
      <c r="BF116" s="117">
        <f>BF10*$C$116</f>
        <v>0</v>
      </c>
      <c r="BG116" s="117">
        <f>BG10*$C$116</f>
        <v>0</v>
      </c>
      <c r="BH116" s="117">
        <f>BH10*$C$116</f>
        <v>0</v>
      </c>
      <c r="BI116" s="117">
        <f>BI10*$C$116</f>
        <v>0</v>
      </c>
      <c r="BJ116" s="117">
        <f>BJ10*$C$116</f>
        <v>0</v>
      </c>
      <c r="BK116" s="117">
        <f>BK10*$C$116</f>
        <v>0</v>
      </c>
      <c r="BL116" s="117">
        <f>BL10*$C$116</f>
        <v>0</v>
      </c>
      <c r="BM116" s="117">
        <f>BM10*$C$116</f>
        <v>0</v>
      </c>
      <c r="BN116" s="117">
        <f>BN10*$C$116</f>
        <v>0</v>
      </c>
      <c r="BO116" s="117">
        <f>BO10*$C$116</f>
        <v>0</v>
      </c>
      <c r="BP116" s="117">
        <f>BP10*$C$116</f>
        <v>0</v>
      </c>
      <c r="BQ116" s="117">
        <f>BQ10*$C$116</f>
        <v>0</v>
      </c>
    </row>
    <row r="117" spans="1:69" s="112" customFormat="1" ht="14" hidden="1" outlineLevel="1">
      <c r="A117" s="142" t="s">
        <v>330</v>
      </c>
      <c r="B117" s="664"/>
      <c r="C117" s="633">
        <f>SUM(D117:BQ117)</f>
        <v>-16667787.9946</v>
      </c>
      <c r="D117" s="139"/>
      <c r="E117" s="139"/>
      <c r="F117" s="139"/>
      <c r="G117" s="139"/>
      <c r="H117" s="139"/>
      <c r="I117" s="139"/>
      <c r="J117" s="139">
        <f>($C$51+$C$69+$C$75)*J10</f>
        <v>-1666778.7994600004</v>
      </c>
      <c r="K117" s="139">
        <f>($C$51+$C$69+$C$75)*K10</f>
        <v>-1250084.099595</v>
      </c>
      <c r="L117" s="139">
        <f>($C$51+$C$69+$C$75)*L10</f>
        <v>-1083406.2196490001</v>
      </c>
      <c r="M117" s="139">
        <f>($C$51+$C$69+$C$75)*M10</f>
        <v>-833389.39973000018</v>
      </c>
      <c r="N117" s="139">
        <f>($C$51+$C$69+$C$75)*N10</f>
        <v>-833389.39973000018</v>
      </c>
      <c r="O117" s="139">
        <f>($C$51+$C$69+$C$75)*O10</f>
        <v>-833389.39973000018</v>
      </c>
      <c r="P117" s="139">
        <f>($C$51+$C$69+$C$75)*P10</f>
        <v>-583372.57981100015</v>
      </c>
      <c r="Q117" s="139">
        <f>($C$51+$C$69+$C$75)*Q10</f>
        <v>-583372.57981100015</v>
      </c>
      <c r="R117" s="139">
        <f>($C$51+$C$69+$C$75)*R10</f>
        <v>-583372.57981100015</v>
      </c>
      <c r="S117" s="139">
        <f>($C$51+$C$69+$C$75)*S10</f>
        <v>-416694.69986500009</v>
      </c>
      <c r="T117" s="139">
        <f>($C$51+$C$69+$C$75)*T10</f>
        <v>-416694.69986500009</v>
      </c>
      <c r="U117" s="139">
        <f>($C$51+$C$69+$C$75)*U10</f>
        <v>-416694.69986500009</v>
      </c>
      <c r="V117" s="139">
        <f>($C$51+$C$69+$C$75)*V10</f>
        <v>-333355.75989200006</v>
      </c>
      <c r="W117" s="139">
        <f>($C$51+$C$69+$C$75)*W10</f>
        <v>-333355.75989200006</v>
      </c>
      <c r="X117" s="139">
        <f>($C$51+$C$69+$C$75)*X10</f>
        <v>-333355.75989200006</v>
      </c>
      <c r="Y117" s="139">
        <f>($C$51+$C$69+$C$75)*Y10</f>
        <v>-333355.75989200006</v>
      </c>
      <c r="Z117" s="139">
        <f>($C$51+$C$69+$C$75)*Z10</f>
        <v>-333355.75989200006</v>
      </c>
      <c r="AA117" s="139">
        <f>($C$51+$C$69+$C$75)*AA10</f>
        <v>-333355.75989200006</v>
      </c>
      <c r="AB117" s="139">
        <f>($C$51+$C$69+$C$75)*AB10</f>
        <v>-333355.75989200006</v>
      </c>
      <c r="AC117" s="139">
        <f>($C$51+$C$69+$C$75)*AC10</f>
        <v>-333355.75989200006</v>
      </c>
      <c r="AD117" s="139">
        <f>($C$51+$C$69+$C$75)*AD10</f>
        <v>-333355.75989200006</v>
      </c>
      <c r="AE117" s="139">
        <f>($C$51+$C$69+$C$75)*AE10</f>
        <v>-333355.75989200006</v>
      </c>
      <c r="AF117" s="139">
        <f>($C$51+$C$69+$C$75)*AF10</f>
        <v>-333355.75989200006</v>
      </c>
      <c r="AG117" s="139">
        <f>($C$51+$C$69+$C$75)*AG10</f>
        <v>-333355.75989200006</v>
      </c>
      <c r="AH117" s="139">
        <f>($C$51+$C$69+$C$75)*AH10</f>
        <v>-250016.81991900003</v>
      </c>
      <c r="AI117" s="139">
        <f>($C$51+$C$69+$C$75)*AI10</f>
        <v>-250016.81991900003</v>
      </c>
      <c r="AJ117" s="139">
        <f>($C$51+$C$69+$C$75)*AJ10</f>
        <v>-250016.81991900003</v>
      </c>
      <c r="AK117" s="139">
        <f>($C$51+$C$69+$C$75)*AK10</f>
        <v>-250016.81991900003</v>
      </c>
      <c r="AL117" s="139">
        <f>($C$51+$C$69+$C$75)*AL10</f>
        <v>-250016.81991900003</v>
      </c>
      <c r="AM117" s="139">
        <f>($C$51+$C$69+$C$75)*AM10</f>
        <v>-250016.81991900003</v>
      </c>
      <c r="AN117" s="139">
        <f>($C$51+$C$69+$C$75)*AN10</f>
        <v>-250016.81991900003</v>
      </c>
      <c r="AO117" s="139">
        <f>($C$51+$C$69+$C$75)*AO10</f>
        <v>-250016.81991900003</v>
      </c>
      <c r="AP117" s="139">
        <f>($C$51+$C$69+$C$75)*AP10</f>
        <v>-250016.81991900003</v>
      </c>
      <c r="AQ117" s="139">
        <f>($C$51+$C$69+$C$75)*AQ10</f>
        <v>-250016.81991900003</v>
      </c>
      <c r="AR117" s="139">
        <f>($C$51+$C$69+$C$75)*AR10</f>
        <v>-166677.87994600003</v>
      </c>
      <c r="AS117" s="139">
        <f>($C$51+$C$69+$C$75)*AS10</f>
        <v>-166677.87994600003</v>
      </c>
      <c r="AT117" s="139">
        <f>($C$51+$C$69+$C$75)*AT10</f>
        <v>-166677.87994600003</v>
      </c>
      <c r="AU117" s="139">
        <f>($C$51+$C$69+$C$75)*AU10</f>
        <v>-166677.87994600003</v>
      </c>
      <c r="AV117" s="139">
        <f>($C$51+$C$69+$C$75)*AV10</f>
        <v>0</v>
      </c>
      <c r="AW117" s="139">
        <f>($C$51+$C$69+$C$75)*AW10</f>
        <v>0</v>
      </c>
      <c r="AX117" s="139">
        <f>($C$51+$C$69+$C$75)*AX10</f>
        <v>0</v>
      </c>
      <c r="AY117" s="139">
        <f>($C$51+$C$69+$C$75)*AY10</f>
        <v>0</v>
      </c>
      <c r="AZ117" s="139">
        <f>($C$51+$C$69+$C$75)*AZ10</f>
        <v>0</v>
      </c>
      <c r="BA117" s="139">
        <f>($C$51+$C$69+$C$75)*BA10</f>
        <v>0</v>
      </c>
      <c r="BB117" s="139">
        <f>($C$51+$C$69+$C$75)*BB10</f>
        <v>0</v>
      </c>
      <c r="BC117" s="139">
        <f>($C$51+$C$69+$C$75)*BC10</f>
        <v>0</v>
      </c>
      <c r="BD117" s="139">
        <f>($C$51+$C$69+$C$75)*BD10</f>
        <v>0</v>
      </c>
      <c r="BE117" s="139">
        <f>($C$51+$C$69+$C$75)*BE10</f>
        <v>0</v>
      </c>
      <c r="BF117" s="139">
        <f>($C$51+$C$69+$C$75)*BF10</f>
        <v>0</v>
      </c>
      <c r="BG117" s="139">
        <f>($C$51+$C$69+$C$75)*BG10</f>
        <v>0</v>
      </c>
      <c r="BH117" s="139">
        <f>($C$51+$C$69+$C$75)*BH10</f>
        <v>0</v>
      </c>
      <c r="BI117" s="139">
        <f>($C$51+$C$69+$C$75)*BI10</f>
        <v>0</v>
      </c>
      <c r="BJ117" s="139">
        <f>($C$51+$C$69+$C$75)*BJ10</f>
        <v>0</v>
      </c>
      <c r="BK117" s="139">
        <f>($C$51+$C$69+$C$75)*BK10</f>
        <v>0</v>
      </c>
      <c r="BL117" s="139"/>
      <c r="BM117" s="139"/>
      <c r="BN117" s="139"/>
      <c r="BO117" s="139"/>
      <c r="BP117" s="139"/>
      <c r="BQ117" s="139"/>
    </row>
    <row r="118" spans="1:69" s="112" customFormat="1" ht="14" hidden="1" outlineLevel="1">
      <c r="A118" s="142" t="s">
        <v>331</v>
      </c>
      <c r="B118" s="664"/>
      <c r="C118" s="633">
        <f>SUM(D118:BQ118)</f>
        <v>-1295834.3652359999</v>
      </c>
      <c r="D118" s="139"/>
      <c r="E118" s="139"/>
      <c r="F118" s="139"/>
      <c r="G118" s="139"/>
      <c r="H118" s="139"/>
      <c r="I118" s="139"/>
      <c r="J118" s="139">
        <f>($C$52+$C$78+$C$79+$C$80+$C$81)*J10</f>
        <v>-129583.43652359996</v>
      </c>
      <c r="K118" s="139">
        <f>($C$52+$C$78+$C$79+$C$80+$C$81)*K10</f>
        <v>-97187.577392699954</v>
      </c>
      <c r="L118" s="139">
        <f>($C$52+$C$78+$C$79+$C$80+$C$81)*L10</f>
        <v>-84229.233740339972</v>
      </c>
      <c r="M118" s="139">
        <f>($C$52+$C$78+$C$79+$C$80+$C$81)*M10</f>
        <v>-64791.718261799979</v>
      </c>
      <c r="N118" s="139">
        <f>($C$52+$C$78+$C$79+$C$80+$C$81)*N10</f>
        <v>-64791.718261799979</v>
      </c>
      <c r="O118" s="139">
        <f>($C$52+$C$78+$C$79+$C$80+$C$81)*O10</f>
        <v>-64791.718261799979</v>
      </c>
      <c r="P118" s="139">
        <f>($C$52+$C$78+$C$79+$C$80+$C$81)*P10</f>
        <v>-45354.202783259985</v>
      </c>
      <c r="Q118" s="139">
        <f>($C$52+$C$78+$C$79+$C$80+$C$81)*Q10</f>
        <v>-45354.202783259985</v>
      </c>
      <c r="R118" s="139">
        <f>($C$52+$C$78+$C$79+$C$80+$C$81)*R10</f>
        <v>-45354.202783259985</v>
      </c>
      <c r="S118" s="139">
        <f>($C$52+$C$78+$C$79+$C$80+$C$81)*S10</f>
        <v>-32395.859130899989</v>
      </c>
      <c r="T118" s="139">
        <f>($C$52+$C$78+$C$79+$C$80+$C$81)*T10</f>
        <v>-32395.859130899989</v>
      </c>
      <c r="U118" s="139">
        <f>($C$52+$C$78+$C$79+$C$80+$C$81)*U10</f>
        <v>-32395.859130899989</v>
      </c>
      <c r="V118" s="139">
        <f>($C$52+$C$78+$C$79+$C$80+$C$81)*V10</f>
        <v>-25916.687304719992</v>
      </c>
      <c r="W118" s="139">
        <f>($C$52+$C$78+$C$79+$C$80+$C$81)*W10</f>
        <v>-25916.687304719992</v>
      </c>
      <c r="X118" s="139">
        <f>($C$52+$C$78+$C$79+$C$80+$C$81)*X10</f>
        <v>-25916.687304719992</v>
      </c>
      <c r="Y118" s="139">
        <f>($C$52+$C$78+$C$79+$C$80+$C$81)*Y10</f>
        <v>-25916.687304719992</v>
      </c>
      <c r="Z118" s="139">
        <f>($C$52+$C$78+$C$79+$C$80+$C$81)*Z10</f>
        <v>-25916.687304719992</v>
      </c>
      <c r="AA118" s="139">
        <f>($C$52+$C$78+$C$79+$C$80+$C$81)*AA10</f>
        <v>-25916.687304719992</v>
      </c>
      <c r="AB118" s="139">
        <f>($C$52+$C$78+$C$79+$C$80+$C$81)*AB10</f>
        <v>-25916.687304719992</v>
      </c>
      <c r="AC118" s="139">
        <f>($C$52+$C$78+$C$79+$C$80+$C$81)*AC10</f>
        <v>-25916.687304719992</v>
      </c>
      <c r="AD118" s="139">
        <f>($C$52+$C$78+$C$79+$C$80+$C$81)*AD10</f>
        <v>-25916.687304719992</v>
      </c>
      <c r="AE118" s="139">
        <f>($C$52+$C$78+$C$79+$C$80+$C$81)*AE10</f>
        <v>-25916.687304719992</v>
      </c>
      <c r="AF118" s="139">
        <f>($C$52+$C$78+$C$79+$C$80+$C$81)*AF10</f>
        <v>-25916.687304719992</v>
      </c>
      <c r="AG118" s="139">
        <f>($C$52+$C$78+$C$79+$C$80+$C$81)*AG10</f>
        <v>-25916.687304719992</v>
      </c>
      <c r="AH118" s="139">
        <f>($C$52+$C$78+$C$79+$C$80+$C$81)*AH10</f>
        <v>-19437.51547853999</v>
      </c>
      <c r="AI118" s="139">
        <f>($C$52+$C$78+$C$79+$C$80+$C$81)*AI10</f>
        <v>-19437.51547853999</v>
      </c>
      <c r="AJ118" s="139">
        <f>($C$52+$C$78+$C$79+$C$80+$C$81)*AJ10</f>
        <v>-19437.51547853999</v>
      </c>
      <c r="AK118" s="139">
        <f>($C$52+$C$78+$C$79+$C$80+$C$81)*AK10</f>
        <v>-19437.51547853999</v>
      </c>
      <c r="AL118" s="139">
        <f>($C$52+$C$78+$C$79+$C$80+$C$81)*AL10</f>
        <v>-19437.51547853999</v>
      </c>
      <c r="AM118" s="139">
        <f>($C$52+$C$78+$C$79+$C$80+$C$81)*AM10</f>
        <v>-19437.51547853999</v>
      </c>
      <c r="AN118" s="139">
        <f>($C$52+$C$78+$C$79+$C$80+$C$81)*AN10</f>
        <v>-19437.51547853999</v>
      </c>
      <c r="AO118" s="139">
        <f>($C$52+$C$78+$C$79+$C$80+$C$81)*AO10</f>
        <v>-19437.51547853999</v>
      </c>
      <c r="AP118" s="139">
        <f>($C$52+$C$78+$C$79+$C$80+$C$81)*AP10</f>
        <v>-19437.51547853999</v>
      </c>
      <c r="AQ118" s="139">
        <f>($C$52+$C$78+$C$79+$C$80+$C$81)*AQ10</f>
        <v>-19437.51547853999</v>
      </c>
      <c r="AR118" s="139">
        <f>($C$52+$C$78+$C$79+$C$80+$C$81)*AR10</f>
        <v>-12958.343652359996</v>
      </c>
      <c r="AS118" s="139">
        <f>($C$52+$C$78+$C$79+$C$80+$C$81)*AS10</f>
        <v>-12958.343652359996</v>
      </c>
      <c r="AT118" s="139">
        <f>($C$52+$C$78+$C$79+$C$80+$C$81)*AT10</f>
        <v>-12958.343652359996</v>
      </c>
      <c r="AU118" s="139">
        <f>($C$52+$C$78+$C$79+$C$80+$C$81)*AU10</f>
        <v>-12958.343652359996</v>
      </c>
      <c r="AV118" s="139">
        <f>($C$52+$C$78+$C$79+$C$80+$C$81)*AV10</f>
        <v>0</v>
      </c>
      <c r="AW118" s="139">
        <f>($C$52+$C$78+$C$79+$C$80+$C$81)*AW10</f>
        <v>0</v>
      </c>
      <c r="AX118" s="139">
        <f>($C$52+$C$78+$C$79+$C$80+$C$81)*AX10</f>
        <v>0</v>
      </c>
      <c r="AY118" s="139">
        <f>($C$52+$C$78+$C$79+$C$80+$C$81)*AY10</f>
        <v>0</v>
      </c>
      <c r="AZ118" s="139">
        <f>($C$52+$C$78+$C$79+$C$80+$C$81)*AZ10</f>
        <v>0</v>
      </c>
      <c r="BA118" s="139">
        <f>($C$52+$C$78+$C$79+$C$80+$C$81)*BA10</f>
        <v>0</v>
      </c>
      <c r="BB118" s="139">
        <f>($C$52+$C$78+$C$79+$C$80+$C$81)*BB10</f>
        <v>0</v>
      </c>
      <c r="BC118" s="139">
        <f>($C$52+$C$78+$C$79+$C$80+$C$81)*BC10</f>
        <v>0</v>
      </c>
      <c r="BD118" s="139">
        <f>($C$52+$C$78+$C$79+$C$80+$C$81)*BD10</f>
        <v>0</v>
      </c>
      <c r="BE118" s="139">
        <f>($C$52+$C$78+$C$79+$C$80+$C$81)*BE10</f>
        <v>0</v>
      </c>
      <c r="BF118" s="139">
        <f>($C$52+$C$78+$C$79+$C$80+$C$81)*BF10</f>
        <v>0</v>
      </c>
      <c r="BG118" s="139">
        <f>($C$52+$C$78+$C$79+$C$80+$C$81)*BG10</f>
        <v>0</v>
      </c>
      <c r="BH118" s="139">
        <f>($C$52+$C$78+$C$79+$C$80+$C$81)*BH10</f>
        <v>0</v>
      </c>
      <c r="BI118" s="139">
        <f>($C$52+$C$78+$C$79+$C$80+$C$81)*BI10</f>
        <v>0</v>
      </c>
      <c r="BJ118" s="139">
        <f>($C$52+$C$78+$C$79+$C$80+$C$81)*BJ10</f>
        <v>0</v>
      </c>
      <c r="BK118" s="139">
        <f>($C$52+$C$78+$C$79+$C$80+$C$81)*BK10</f>
        <v>0</v>
      </c>
      <c r="BL118" s="139">
        <f>($C$52+$C$78+$C$79+$C$80+$C$81)*BL10</f>
        <v>0</v>
      </c>
      <c r="BM118" s="139">
        <f>($C$52+$C$78+$C$79+$C$80+$C$81)*BM10</f>
        <v>0</v>
      </c>
      <c r="BN118" s="139">
        <f>($C$52+$C$78+$C$79+$C$80+$C$81)*BN10</f>
        <v>0</v>
      </c>
      <c r="BO118" s="139">
        <f>($C$52+$C$78+$C$79+$C$80+$C$81)*BO10</f>
        <v>0</v>
      </c>
      <c r="BP118" s="139">
        <f>($C$52+$C$78+$C$79+$C$80+$C$81)*BP10</f>
        <v>0</v>
      </c>
      <c r="BQ118" s="139">
        <f>($C$52+$C$78+$C$79+$C$80+$C$81)*BQ10</f>
        <v>0</v>
      </c>
    </row>
    <row r="119" spans="1:69" s="112" customFormat="1" ht="14" hidden="1" outlineLevel="1">
      <c r="A119" s="142" t="s">
        <v>332</v>
      </c>
      <c r="B119" s="664"/>
      <c r="C119" s="633">
        <f>SUM(D119:BQ119)</f>
        <v>-1458897.2672137504</v>
      </c>
      <c r="D119" s="139">
        <f>D82+D83+D86+D87+D88</f>
        <v>0</v>
      </c>
      <c r="E119" s="139">
        <f t="shared" ref="E119:J119" si="108">E82+E83+E86+E87+E88</f>
        <v>-7000</v>
      </c>
      <c r="F119" s="139">
        <f t="shared" si="108"/>
        <v>-47377.038750999978</v>
      </c>
      <c r="G119" s="139">
        <f t="shared" si="108"/>
        <v>-47377.038750999978</v>
      </c>
      <c r="H119" s="139">
        <f t="shared" si="108"/>
        <v>-52138.481999938653</v>
      </c>
      <c r="I119" s="139">
        <f t="shared" si="108"/>
        <v>-52138.481999938653</v>
      </c>
      <c r="J119" s="139">
        <f t="shared" si="108"/>
        <v>-18136.7651569913</v>
      </c>
      <c r="K119" s="139">
        <f t="shared" ref="K119:BK119" si="109">K82+K83+K86+K87+K88</f>
        <v>-55281.7835569913</v>
      </c>
      <c r="L119" s="139">
        <f t="shared" si="109"/>
        <v>-46298.3416069913</v>
      </c>
      <c r="M119" s="139">
        <f t="shared" si="109"/>
        <v>-42805.902376991296</v>
      </c>
      <c r="N119" s="139">
        <f t="shared" si="109"/>
        <v>-37314.8996569913</v>
      </c>
      <c r="O119" s="139">
        <f t="shared" si="109"/>
        <v>-37617.712306991307</v>
      </c>
      <c r="P119" s="139">
        <f t="shared" si="109"/>
        <v>-37920.524956991299</v>
      </c>
      <c r="Q119" s="139">
        <f t="shared" si="109"/>
        <v>-32126.709586991299</v>
      </c>
      <c r="R119" s="139">
        <f t="shared" si="109"/>
        <v>-32268.022156991297</v>
      </c>
      <c r="S119" s="139">
        <f t="shared" si="109"/>
        <v>-32268.022156991297</v>
      </c>
      <c r="T119" s="139">
        <f t="shared" si="109"/>
        <v>-28331.457706991299</v>
      </c>
      <c r="U119" s="139">
        <f t="shared" si="109"/>
        <v>-28432.395256991302</v>
      </c>
      <c r="V119" s="139">
        <f t="shared" si="109"/>
        <v>-28533.332806991297</v>
      </c>
      <c r="W119" s="139">
        <f t="shared" si="109"/>
        <v>-26534.7693169913</v>
      </c>
      <c r="X119" s="139">
        <f t="shared" si="109"/>
        <v>-26615.519356991303</v>
      </c>
      <c r="Y119" s="139">
        <f t="shared" si="109"/>
        <v>-26615.519356991303</v>
      </c>
      <c r="Z119" s="139">
        <f t="shared" si="109"/>
        <v>-26615.519356991303</v>
      </c>
      <c r="AA119" s="139">
        <f t="shared" si="109"/>
        <v>-26615.519356991303</v>
      </c>
      <c r="AB119" s="139">
        <f t="shared" si="109"/>
        <v>-26615.519356991303</v>
      </c>
      <c r="AC119" s="139">
        <f t="shared" si="109"/>
        <v>-26615.519356991303</v>
      </c>
      <c r="AD119" s="139">
        <f t="shared" si="109"/>
        <v>-26615.519356991303</v>
      </c>
      <c r="AE119" s="139">
        <f t="shared" si="109"/>
        <v>-26615.519356991303</v>
      </c>
      <c r="AF119" s="139">
        <f t="shared" si="109"/>
        <v>-26615.519356991303</v>
      </c>
      <c r="AG119" s="139">
        <f t="shared" si="109"/>
        <v>-26615.519356991303</v>
      </c>
      <c r="AH119" s="139">
        <f t="shared" si="109"/>
        <v>-26615.519356991303</v>
      </c>
      <c r="AI119" s="139">
        <f t="shared" si="109"/>
        <v>-24495.8308069913</v>
      </c>
      <c r="AJ119" s="139">
        <f t="shared" si="109"/>
        <v>-24495.8308069913</v>
      </c>
      <c r="AK119" s="139">
        <f t="shared" si="109"/>
        <v>-24495.8308069913</v>
      </c>
      <c r="AL119" s="139">
        <f t="shared" si="109"/>
        <v>-24495.8308069913</v>
      </c>
      <c r="AM119" s="139">
        <f t="shared" si="109"/>
        <v>-24495.8308069913</v>
      </c>
      <c r="AN119" s="139">
        <f t="shared" si="109"/>
        <v>-24495.8308069913</v>
      </c>
      <c r="AO119" s="139">
        <f t="shared" si="109"/>
        <v>-24495.8308069913</v>
      </c>
      <c r="AP119" s="139">
        <f t="shared" si="109"/>
        <v>-24495.8308069913</v>
      </c>
      <c r="AQ119" s="139">
        <f t="shared" si="109"/>
        <v>-24495.8308069913</v>
      </c>
      <c r="AR119" s="139">
        <f t="shared" si="109"/>
        <v>-24495.8308069913</v>
      </c>
      <c r="AS119" s="139">
        <f t="shared" si="109"/>
        <v>-22376.142256991301</v>
      </c>
      <c r="AT119" s="139">
        <f t="shared" si="109"/>
        <v>-22376.142256991301</v>
      </c>
      <c r="AU119" s="139">
        <f t="shared" si="109"/>
        <v>-22376.142256991301</v>
      </c>
      <c r="AV119" s="139">
        <f t="shared" si="109"/>
        <v>-16000.820348938676</v>
      </c>
      <c r="AW119" s="139">
        <f t="shared" si="109"/>
        <v>-11761.443248938675</v>
      </c>
      <c r="AX119" s="139">
        <f t="shared" si="109"/>
        <v>-11761.443248938675</v>
      </c>
      <c r="AY119" s="139">
        <f t="shared" si="109"/>
        <v>-11761.443248938675</v>
      </c>
      <c r="AZ119" s="139">
        <f t="shared" si="109"/>
        <v>-11761.443248938675</v>
      </c>
      <c r="BA119" s="139">
        <f t="shared" si="109"/>
        <v>-11761.443248938675</v>
      </c>
      <c r="BB119" s="139">
        <f t="shared" si="109"/>
        <v>-11761.443248938675</v>
      </c>
      <c r="BC119" s="139">
        <f t="shared" si="109"/>
        <v>-11761.443248938675</v>
      </c>
      <c r="BD119" s="139">
        <f t="shared" si="109"/>
        <v>-11761.443248938675</v>
      </c>
      <c r="BE119" s="139">
        <f t="shared" si="109"/>
        <v>-11761.443248938675</v>
      </c>
      <c r="BF119" s="139">
        <f t="shared" si="109"/>
        <v>-11761.443248938675</v>
      </c>
      <c r="BG119" s="139">
        <f t="shared" si="109"/>
        <v>-11761.443248938675</v>
      </c>
      <c r="BH119" s="139">
        <f t="shared" si="109"/>
        <v>-11761.443248938675</v>
      </c>
      <c r="BI119" s="139">
        <f t="shared" si="109"/>
        <v>-7000</v>
      </c>
      <c r="BJ119" s="139">
        <f t="shared" si="109"/>
        <v>0</v>
      </c>
      <c r="BK119" s="139">
        <f t="shared" si="109"/>
        <v>0</v>
      </c>
      <c r="BL119" s="139"/>
      <c r="BM119" s="139"/>
      <c r="BN119" s="139"/>
      <c r="BO119" s="139"/>
      <c r="BP119" s="139"/>
      <c r="BQ119" s="139"/>
    </row>
    <row r="120" spans="1:69" s="112" customFormat="1" ht="14" hidden="1" outlineLevel="1">
      <c r="A120" s="142" t="s">
        <v>333</v>
      </c>
      <c r="B120" s="664"/>
      <c r="C120" s="633">
        <f>SUM(D120:BQ120)</f>
        <v>-1858533.9301064045</v>
      </c>
      <c r="D120" s="139">
        <f>D84+D91</f>
        <v>0</v>
      </c>
      <c r="E120" s="139">
        <f t="shared" ref="E120:BP120" si="110">E84+E91</f>
        <v>0</v>
      </c>
      <c r="F120" s="139">
        <f t="shared" si="110"/>
        <v>0</v>
      </c>
      <c r="G120" s="139">
        <f t="shared" si="110"/>
        <v>0</v>
      </c>
      <c r="H120" s="139">
        <f t="shared" si="110"/>
        <v>0</v>
      </c>
      <c r="I120" s="139">
        <f t="shared" si="110"/>
        <v>0</v>
      </c>
      <c r="J120" s="139">
        <f t="shared" si="110"/>
        <v>0</v>
      </c>
      <c r="K120" s="139">
        <f>K84+K91</f>
        <v>-27662.170833876524</v>
      </c>
      <c r="L120" s="139">
        <f t="shared" si="110"/>
        <v>-22065.148037922721</v>
      </c>
      <c r="M120" s="139">
        <f t="shared" si="110"/>
        <v>-20317.47659176249</v>
      </c>
      <c r="N120" s="139">
        <f t="shared" si="110"/>
        <v>-16403.380161995014</v>
      </c>
      <c r="O120" s="139">
        <f t="shared" si="110"/>
        <v>-16118.991618755303</v>
      </c>
      <c r="P120" s="139">
        <f t="shared" si="110"/>
        <v>-17116.621658224241</v>
      </c>
      <c r="Q120" s="139">
        <f t="shared" si="110"/>
        <v>-14615.604414076999</v>
      </c>
      <c r="R120" s="139">
        <f t="shared" si="110"/>
        <v>-15356.383966521094</v>
      </c>
      <c r="S120" s="139">
        <f t="shared" si="110"/>
        <v>-16030.946211844035</v>
      </c>
      <c r="T120" s="139">
        <f t="shared" si="110"/>
        <v>-14360.174772993996</v>
      </c>
      <c r="U120" s="139">
        <f t="shared" si="110"/>
        <v>-14981.226510985796</v>
      </c>
      <c r="V120" s="139">
        <f t="shared" si="110"/>
        <v>-15630.678329088872</v>
      </c>
      <c r="W120" s="139">
        <f t="shared" si="110"/>
        <v>-15073.315431660205</v>
      </c>
      <c r="X120" s="139">
        <f t="shared" si="110"/>
        <v>-15669.632232477357</v>
      </c>
      <c r="Y120" s="139">
        <f t="shared" si="110"/>
        <v>-16236.98436053042</v>
      </c>
      <c r="Z120" s="139">
        <f t="shared" si="110"/>
        <v>-17096.259860755457</v>
      </c>
      <c r="AA120" s="139">
        <f t="shared" si="110"/>
        <v>-17750.790357353526</v>
      </c>
      <c r="AB120" s="139">
        <f t="shared" si="110"/>
        <v>-18442.982811856004</v>
      </c>
      <c r="AC120" s="139">
        <f t="shared" si="110"/>
        <v>-19440.974197369327</v>
      </c>
      <c r="AD120" s="139">
        <f t="shared" si="110"/>
        <v>-20256.16012997341</v>
      </c>
      <c r="AE120" s="139">
        <f t="shared" si="110"/>
        <v>-21130.378559535369</v>
      </c>
      <c r="AF120" s="139">
        <f t="shared" si="110"/>
        <v>-22337.204526291061</v>
      </c>
      <c r="AG120" s="139">
        <f t="shared" si="110"/>
        <v>-23403.853715102101</v>
      </c>
      <c r="AH120" s="139">
        <f t="shared" si="110"/>
        <v>-24576.946819740762</v>
      </c>
      <c r="AI120" s="139">
        <f t="shared" si="110"/>
        <v>-24306.501581004522</v>
      </c>
      <c r="AJ120" s="139">
        <f t="shared" si="110"/>
        <v>-25463.031432306805</v>
      </c>
      <c r="AK120" s="139">
        <f t="shared" si="110"/>
        <v>-26815.951311032615</v>
      </c>
      <c r="AL120" s="139">
        <f t="shared" si="110"/>
        <v>-28672.661940905658</v>
      </c>
      <c r="AM120" s="139">
        <f t="shared" si="110"/>
        <v>-30983.814588407247</v>
      </c>
      <c r="AN120" s="139">
        <f t="shared" si="110"/>
        <v>-116082.07355367958</v>
      </c>
      <c r="AO120" s="139">
        <f t="shared" si="110"/>
        <v>-108980.85905232932</v>
      </c>
      <c r="AP120" s="139">
        <f t="shared" si="110"/>
        <v>-110071.72195004293</v>
      </c>
      <c r="AQ120" s="139">
        <f t="shared" si="110"/>
        <v>-30300.282494243707</v>
      </c>
      <c r="AR120" s="139">
        <f t="shared" si="110"/>
        <v>-31927.171029840261</v>
      </c>
      <c r="AS120" s="139">
        <f t="shared" si="110"/>
        <v>-32204.234274044597</v>
      </c>
      <c r="AT120" s="139">
        <f t="shared" si="110"/>
        <v>-123881.24235314874</v>
      </c>
      <c r="AU120" s="139">
        <f t="shared" si="110"/>
        <v>-114405.94304028408</v>
      </c>
      <c r="AV120" s="139">
        <f t="shared" si="110"/>
        <v>-114956.28655829281</v>
      </c>
      <c r="AW120" s="139">
        <f t="shared" si="110"/>
        <v>-20537.13106873411</v>
      </c>
      <c r="AX120" s="139">
        <f t="shared" si="110"/>
        <v>-11741.214939841291</v>
      </c>
      <c r="AY120" s="139">
        <f t="shared" si="110"/>
        <v>-11741.214939841291</v>
      </c>
      <c r="AZ120" s="139">
        <f t="shared" si="110"/>
        <v>-101097.93992217991</v>
      </c>
      <c r="BA120" s="139">
        <f t="shared" si="110"/>
        <v>-92713.597040263194</v>
      </c>
      <c r="BB120" s="139">
        <f t="shared" si="110"/>
        <v>-92713.597040263194</v>
      </c>
      <c r="BC120" s="139">
        <f t="shared" si="110"/>
        <v>-3356.8720579245605</v>
      </c>
      <c r="BD120" s="139">
        <f t="shared" si="110"/>
        <v>-3356.8720579245605</v>
      </c>
      <c r="BE120" s="139">
        <f t="shared" si="110"/>
        <v>-3356.8720579245605</v>
      </c>
      <c r="BF120" s="139">
        <f t="shared" si="110"/>
        <v>-54502.100609033972</v>
      </c>
      <c r="BG120" s="139">
        <f t="shared" si="110"/>
        <v>-51145.228551109409</v>
      </c>
      <c r="BH120" s="139">
        <f t="shared" si="110"/>
        <v>-51145.228551109409</v>
      </c>
      <c r="BI120" s="139">
        <f t="shared" si="110"/>
        <v>0</v>
      </c>
      <c r="BJ120" s="139">
        <f t="shared" si="110"/>
        <v>0</v>
      </c>
      <c r="BK120" s="139">
        <f t="shared" si="110"/>
        <v>0</v>
      </c>
      <c r="BL120" s="139">
        <f t="shared" si="110"/>
        <v>0</v>
      </c>
      <c r="BM120" s="139">
        <f t="shared" si="110"/>
        <v>0</v>
      </c>
      <c r="BN120" s="139">
        <f t="shared" si="110"/>
        <v>0</v>
      </c>
      <c r="BO120" s="139">
        <f t="shared" si="110"/>
        <v>0</v>
      </c>
      <c r="BP120" s="139">
        <f t="shared" si="110"/>
        <v>0</v>
      </c>
      <c r="BQ120" s="139">
        <f t="shared" ref="BQ120" si="111">BQ84+BQ91</f>
        <v>0</v>
      </c>
    </row>
    <row r="121" spans="1:69" s="70" customFormat="1" ht="14" collapsed="1">
      <c r="A121" s="66"/>
      <c r="B121" s="66"/>
      <c r="C121" s="481"/>
      <c r="D121" s="66"/>
      <c r="E121" s="66"/>
      <c r="F121" s="66"/>
      <c r="BL121" s="66"/>
      <c r="BM121" s="66"/>
      <c r="BN121" s="66"/>
      <c r="BO121" s="66"/>
      <c r="BP121" s="66"/>
      <c r="BQ121" s="66"/>
    </row>
    <row r="122" spans="1:69" s="112" customFormat="1" ht="14">
      <c r="A122" s="116" t="s">
        <v>138</v>
      </c>
      <c r="C122" s="123"/>
    </row>
    <row r="123" spans="1:69" s="112" customFormat="1" ht="14" outlineLevel="1">
      <c r="A123" s="141" t="str">
        <f>+A108</f>
        <v xml:space="preserve">     Módulo 1</v>
      </c>
      <c r="B123" s="614"/>
      <c r="C123" s="610"/>
      <c r="D123" s="83"/>
      <c r="E123" s="83"/>
      <c r="F123" s="83"/>
      <c r="G123" s="83"/>
      <c r="H123" s="83"/>
      <c r="I123" s="83"/>
      <c r="J123" s="83">
        <f t="shared" ref="J123:AL123" si="112">+K123+1</f>
        <v>30</v>
      </c>
      <c r="K123" s="83">
        <f t="shared" si="112"/>
        <v>29</v>
      </c>
      <c r="L123" s="83">
        <f t="shared" si="112"/>
        <v>28</v>
      </c>
      <c r="M123" s="83">
        <f t="shared" si="112"/>
        <v>27</v>
      </c>
      <c r="N123" s="83">
        <f t="shared" si="112"/>
        <v>26</v>
      </c>
      <c r="O123" s="83">
        <f t="shared" si="112"/>
        <v>25</v>
      </c>
      <c r="P123" s="83">
        <f t="shared" si="112"/>
        <v>24</v>
      </c>
      <c r="Q123" s="83">
        <f t="shared" si="112"/>
        <v>23</v>
      </c>
      <c r="R123" s="83">
        <f t="shared" si="112"/>
        <v>22</v>
      </c>
      <c r="S123" s="83">
        <f t="shared" si="112"/>
        <v>21</v>
      </c>
      <c r="T123" s="83">
        <f t="shared" si="112"/>
        <v>20</v>
      </c>
      <c r="U123" s="83">
        <f t="shared" si="112"/>
        <v>19</v>
      </c>
      <c r="V123" s="83">
        <f t="shared" si="112"/>
        <v>18</v>
      </c>
      <c r="W123" s="83">
        <f t="shared" si="112"/>
        <v>17</v>
      </c>
      <c r="X123" s="83">
        <f t="shared" si="112"/>
        <v>16</v>
      </c>
      <c r="Y123" s="83">
        <f t="shared" si="112"/>
        <v>15</v>
      </c>
      <c r="Z123" s="83">
        <f t="shared" si="112"/>
        <v>14</v>
      </c>
      <c r="AA123" s="83">
        <f t="shared" si="112"/>
        <v>13</v>
      </c>
      <c r="AB123" s="83">
        <f t="shared" si="112"/>
        <v>12</v>
      </c>
      <c r="AC123" s="83">
        <f t="shared" si="112"/>
        <v>11</v>
      </c>
      <c r="AD123" s="83">
        <f t="shared" si="112"/>
        <v>10</v>
      </c>
      <c r="AE123" s="83">
        <f t="shared" si="112"/>
        <v>9</v>
      </c>
      <c r="AF123" s="83">
        <f t="shared" si="112"/>
        <v>8</v>
      </c>
      <c r="AG123" s="83">
        <f t="shared" si="112"/>
        <v>7</v>
      </c>
      <c r="AH123" s="83">
        <f t="shared" si="112"/>
        <v>6</v>
      </c>
      <c r="AI123" s="83">
        <f t="shared" si="112"/>
        <v>5</v>
      </c>
      <c r="AJ123" s="83">
        <f t="shared" si="112"/>
        <v>4</v>
      </c>
      <c r="AK123" s="83">
        <f t="shared" si="112"/>
        <v>3</v>
      </c>
      <c r="AL123" s="83">
        <f t="shared" si="112"/>
        <v>2</v>
      </c>
      <c r="AM123" s="83">
        <f>+AN123+1</f>
        <v>1</v>
      </c>
      <c r="AN123" s="83">
        <v>0</v>
      </c>
      <c r="AO123" s="83"/>
      <c r="AP123" s="83"/>
      <c r="AQ123" s="83"/>
      <c r="AR123" s="83"/>
      <c r="AS123" s="83"/>
      <c r="AT123" s="83"/>
      <c r="AU123" s="83"/>
      <c r="AV123" s="83"/>
      <c r="AW123" s="83"/>
      <c r="AX123" s="83"/>
      <c r="AY123" s="83"/>
      <c r="AZ123" s="83"/>
      <c r="BA123" s="83"/>
      <c r="BB123" s="83"/>
      <c r="BC123" s="83"/>
      <c r="BD123" s="83"/>
      <c r="BE123" s="83"/>
      <c r="BF123" s="83"/>
      <c r="BG123" s="83"/>
      <c r="BH123" s="83"/>
      <c r="BI123" s="83"/>
      <c r="BJ123" s="83"/>
      <c r="BK123" s="83"/>
      <c r="BL123" s="83"/>
      <c r="BM123" s="83"/>
      <c r="BN123" s="83"/>
      <c r="BO123" s="83"/>
      <c r="BP123" s="83"/>
      <c r="BQ123" s="83"/>
    </row>
    <row r="124" spans="1:69" s="112" customFormat="1" ht="14" outlineLevel="1">
      <c r="A124" s="142" t="str">
        <f>+A109</f>
        <v xml:space="preserve">     Módulo 2</v>
      </c>
      <c r="B124" s="616"/>
      <c r="C124" s="633"/>
      <c r="J124" s="112">
        <f t="shared" ref="J124:AR124" si="113">+K124+1</f>
        <v>36</v>
      </c>
      <c r="K124" s="112">
        <f t="shared" si="113"/>
        <v>35</v>
      </c>
      <c r="L124" s="112">
        <f t="shared" si="113"/>
        <v>34</v>
      </c>
      <c r="M124" s="112">
        <f t="shared" si="113"/>
        <v>33</v>
      </c>
      <c r="N124" s="112">
        <f t="shared" si="113"/>
        <v>32</v>
      </c>
      <c r="O124" s="112">
        <f t="shared" si="113"/>
        <v>31</v>
      </c>
      <c r="P124" s="112">
        <f t="shared" si="113"/>
        <v>30</v>
      </c>
      <c r="Q124" s="112">
        <f t="shared" si="113"/>
        <v>29</v>
      </c>
      <c r="R124" s="112">
        <f t="shared" si="113"/>
        <v>28</v>
      </c>
      <c r="S124" s="112">
        <f t="shared" si="113"/>
        <v>27</v>
      </c>
      <c r="T124" s="112">
        <f t="shared" si="113"/>
        <v>26</v>
      </c>
      <c r="U124" s="112">
        <f t="shared" si="113"/>
        <v>25</v>
      </c>
      <c r="V124" s="112">
        <f t="shared" si="113"/>
        <v>24</v>
      </c>
      <c r="W124" s="112">
        <f t="shared" si="113"/>
        <v>23</v>
      </c>
      <c r="X124" s="112">
        <f t="shared" si="113"/>
        <v>22</v>
      </c>
      <c r="Y124" s="112">
        <f t="shared" si="113"/>
        <v>21</v>
      </c>
      <c r="Z124" s="112">
        <f t="shared" si="113"/>
        <v>20</v>
      </c>
      <c r="AA124" s="112">
        <f t="shared" si="113"/>
        <v>19</v>
      </c>
      <c r="AB124" s="112">
        <f t="shared" si="113"/>
        <v>18</v>
      </c>
      <c r="AC124" s="112">
        <f t="shared" si="113"/>
        <v>17</v>
      </c>
      <c r="AD124" s="112">
        <f t="shared" si="113"/>
        <v>16</v>
      </c>
      <c r="AE124" s="112">
        <f t="shared" si="113"/>
        <v>15</v>
      </c>
      <c r="AF124" s="112">
        <f t="shared" si="113"/>
        <v>14</v>
      </c>
      <c r="AG124" s="112">
        <f t="shared" si="113"/>
        <v>13</v>
      </c>
      <c r="AH124" s="112">
        <f t="shared" si="113"/>
        <v>12</v>
      </c>
      <c r="AI124" s="112">
        <f t="shared" si="113"/>
        <v>11</v>
      </c>
      <c r="AJ124" s="112">
        <f t="shared" si="113"/>
        <v>10</v>
      </c>
      <c r="AK124" s="112">
        <f t="shared" si="113"/>
        <v>9</v>
      </c>
      <c r="AL124" s="112">
        <f t="shared" si="113"/>
        <v>8</v>
      </c>
      <c r="AM124" s="112">
        <f t="shared" si="113"/>
        <v>7</v>
      </c>
      <c r="AN124" s="112">
        <f t="shared" si="113"/>
        <v>6</v>
      </c>
      <c r="AO124" s="112">
        <f t="shared" si="113"/>
        <v>5</v>
      </c>
      <c r="AP124" s="112">
        <f t="shared" si="113"/>
        <v>4</v>
      </c>
      <c r="AQ124" s="112">
        <f t="shared" si="113"/>
        <v>3</v>
      </c>
      <c r="AR124" s="112">
        <f t="shared" si="113"/>
        <v>2</v>
      </c>
      <c r="AS124" s="112">
        <f>+AT124+1</f>
        <v>1</v>
      </c>
      <c r="AU124" s="70"/>
      <c r="AV124" s="70"/>
      <c r="AW124" s="70"/>
      <c r="AX124" s="70"/>
      <c r="AY124" s="70"/>
      <c r="AZ124" s="70"/>
      <c r="BA124" s="70"/>
      <c r="BB124" s="70"/>
      <c r="BC124" s="70"/>
      <c r="BD124" s="70"/>
      <c r="BE124" s="70"/>
      <c r="BF124" s="70"/>
    </row>
    <row r="125" spans="1:69" s="112" customFormat="1" ht="14" outlineLevel="1">
      <c r="A125" s="142" t="str">
        <f>+A110</f>
        <v xml:space="preserve">     Módulo 3</v>
      </c>
      <c r="B125" s="616"/>
      <c r="C125" s="633"/>
      <c r="J125" s="112">
        <f t="shared" ref="J125:AX125" si="114">+K125+1</f>
        <v>42</v>
      </c>
      <c r="K125" s="112">
        <f t="shared" si="114"/>
        <v>41</v>
      </c>
      <c r="L125" s="112">
        <f t="shared" si="114"/>
        <v>40</v>
      </c>
      <c r="M125" s="112">
        <f t="shared" si="114"/>
        <v>39</v>
      </c>
      <c r="N125" s="112">
        <f t="shared" si="114"/>
        <v>38</v>
      </c>
      <c r="O125" s="112">
        <f t="shared" si="114"/>
        <v>37</v>
      </c>
      <c r="P125" s="112">
        <f t="shared" si="114"/>
        <v>36</v>
      </c>
      <c r="Q125" s="112">
        <f t="shared" si="114"/>
        <v>35</v>
      </c>
      <c r="R125" s="112">
        <f t="shared" si="114"/>
        <v>34</v>
      </c>
      <c r="S125" s="112">
        <f t="shared" si="114"/>
        <v>33</v>
      </c>
      <c r="T125" s="112">
        <f t="shared" si="114"/>
        <v>32</v>
      </c>
      <c r="U125" s="112">
        <f t="shared" si="114"/>
        <v>31</v>
      </c>
      <c r="V125" s="112">
        <f t="shared" si="114"/>
        <v>30</v>
      </c>
      <c r="W125" s="112">
        <f t="shared" si="114"/>
        <v>29</v>
      </c>
      <c r="X125" s="112">
        <f t="shared" si="114"/>
        <v>28</v>
      </c>
      <c r="Y125" s="112">
        <f t="shared" si="114"/>
        <v>27</v>
      </c>
      <c r="Z125" s="112">
        <f t="shared" si="114"/>
        <v>26</v>
      </c>
      <c r="AA125" s="112">
        <f t="shared" si="114"/>
        <v>25</v>
      </c>
      <c r="AB125" s="112">
        <f t="shared" si="114"/>
        <v>24</v>
      </c>
      <c r="AC125" s="112">
        <f t="shared" si="114"/>
        <v>23</v>
      </c>
      <c r="AD125" s="112">
        <f t="shared" si="114"/>
        <v>22</v>
      </c>
      <c r="AE125" s="112">
        <f t="shared" si="114"/>
        <v>21</v>
      </c>
      <c r="AF125" s="112">
        <f t="shared" si="114"/>
        <v>20</v>
      </c>
      <c r="AG125" s="112">
        <f t="shared" si="114"/>
        <v>19</v>
      </c>
      <c r="AH125" s="112">
        <f t="shared" si="114"/>
        <v>18</v>
      </c>
      <c r="AI125" s="112">
        <f t="shared" si="114"/>
        <v>17</v>
      </c>
      <c r="AJ125" s="112">
        <f t="shared" si="114"/>
        <v>16</v>
      </c>
      <c r="AK125" s="112">
        <f t="shared" si="114"/>
        <v>15</v>
      </c>
      <c r="AL125" s="112">
        <f t="shared" si="114"/>
        <v>14</v>
      </c>
      <c r="AM125" s="112">
        <f t="shared" si="114"/>
        <v>13</v>
      </c>
      <c r="AN125" s="112">
        <f t="shared" si="114"/>
        <v>12</v>
      </c>
      <c r="AO125" s="112">
        <f t="shared" si="114"/>
        <v>11</v>
      </c>
      <c r="AP125" s="112">
        <f t="shared" si="114"/>
        <v>10</v>
      </c>
      <c r="AQ125" s="112">
        <f t="shared" si="114"/>
        <v>9</v>
      </c>
      <c r="AR125" s="112">
        <f t="shared" si="114"/>
        <v>8</v>
      </c>
      <c r="AS125" s="112">
        <f t="shared" si="114"/>
        <v>7</v>
      </c>
      <c r="AT125" s="112">
        <f t="shared" si="114"/>
        <v>6</v>
      </c>
      <c r="AU125" s="112">
        <f t="shared" si="114"/>
        <v>5</v>
      </c>
      <c r="AV125" s="112">
        <f t="shared" si="114"/>
        <v>4</v>
      </c>
      <c r="AW125" s="112">
        <f t="shared" si="114"/>
        <v>3</v>
      </c>
      <c r="AX125" s="112">
        <f t="shared" si="114"/>
        <v>2</v>
      </c>
      <c r="AY125" s="112">
        <f>+AZ125+1</f>
        <v>1</v>
      </c>
    </row>
    <row r="126" spans="1:69" s="112" customFormat="1" ht="14" outlineLevel="1">
      <c r="A126" s="143" t="str">
        <f>+A111</f>
        <v xml:space="preserve">     Módulo 4</v>
      </c>
      <c r="B126" s="618"/>
      <c r="C126" s="612"/>
      <c r="D126" s="87"/>
      <c r="E126" s="87"/>
      <c r="F126" s="87"/>
      <c r="G126" s="87"/>
      <c r="H126" s="87"/>
      <c r="I126" s="87"/>
      <c r="J126" s="87">
        <f t="shared" ref="J126:BD126" si="115">+K126+1</f>
        <v>48</v>
      </c>
      <c r="K126" s="87">
        <f t="shared" si="115"/>
        <v>47</v>
      </c>
      <c r="L126" s="87">
        <f t="shared" si="115"/>
        <v>46</v>
      </c>
      <c r="M126" s="87">
        <f t="shared" si="115"/>
        <v>45</v>
      </c>
      <c r="N126" s="87">
        <f t="shared" si="115"/>
        <v>44</v>
      </c>
      <c r="O126" s="87">
        <f t="shared" si="115"/>
        <v>43</v>
      </c>
      <c r="P126" s="87">
        <f t="shared" si="115"/>
        <v>42</v>
      </c>
      <c r="Q126" s="87">
        <f t="shared" si="115"/>
        <v>41</v>
      </c>
      <c r="R126" s="87">
        <f t="shared" si="115"/>
        <v>40</v>
      </c>
      <c r="S126" s="87">
        <f t="shared" si="115"/>
        <v>39</v>
      </c>
      <c r="T126" s="87">
        <f t="shared" si="115"/>
        <v>38</v>
      </c>
      <c r="U126" s="87">
        <f t="shared" si="115"/>
        <v>37</v>
      </c>
      <c r="V126" s="87">
        <f t="shared" si="115"/>
        <v>36</v>
      </c>
      <c r="W126" s="87">
        <f t="shared" si="115"/>
        <v>35</v>
      </c>
      <c r="X126" s="87">
        <f t="shared" si="115"/>
        <v>34</v>
      </c>
      <c r="Y126" s="87">
        <f t="shared" si="115"/>
        <v>33</v>
      </c>
      <c r="Z126" s="87">
        <f t="shared" si="115"/>
        <v>32</v>
      </c>
      <c r="AA126" s="87">
        <f t="shared" si="115"/>
        <v>31</v>
      </c>
      <c r="AB126" s="87">
        <f t="shared" si="115"/>
        <v>30</v>
      </c>
      <c r="AC126" s="87">
        <f t="shared" si="115"/>
        <v>29</v>
      </c>
      <c r="AD126" s="87">
        <f t="shared" si="115"/>
        <v>28</v>
      </c>
      <c r="AE126" s="87">
        <f t="shared" si="115"/>
        <v>27</v>
      </c>
      <c r="AF126" s="87">
        <f t="shared" si="115"/>
        <v>26</v>
      </c>
      <c r="AG126" s="87">
        <f t="shared" si="115"/>
        <v>25</v>
      </c>
      <c r="AH126" s="87">
        <f t="shared" si="115"/>
        <v>24</v>
      </c>
      <c r="AI126" s="87">
        <f t="shared" si="115"/>
        <v>23</v>
      </c>
      <c r="AJ126" s="87">
        <f t="shared" si="115"/>
        <v>22</v>
      </c>
      <c r="AK126" s="87">
        <f t="shared" si="115"/>
        <v>21</v>
      </c>
      <c r="AL126" s="87">
        <f t="shared" si="115"/>
        <v>20</v>
      </c>
      <c r="AM126" s="87">
        <f t="shared" si="115"/>
        <v>19</v>
      </c>
      <c r="AN126" s="87">
        <f t="shared" si="115"/>
        <v>18</v>
      </c>
      <c r="AO126" s="87">
        <f t="shared" si="115"/>
        <v>17</v>
      </c>
      <c r="AP126" s="87">
        <f t="shared" si="115"/>
        <v>16</v>
      </c>
      <c r="AQ126" s="87">
        <f t="shared" si="115"/>
        <v>15</v>
      </c>
      <c r="AR126" s="87">
        <f t="shared" si="115"/>
        <v>14</v>
      </c>
      <c r="AS126" s="87">
        <f t="shared" si="115"/>
        <v>13</v>
      </c>
      <c r="AT126" s="87">
        <f t="shared" si="115"/>
        <v>12</v>
      </c>
      <c r="AU126" s="87">
        <f t="shared" si="115"/>
        <v>11</v>
      </c>
      <c r="AV126" s="87">
        <f t="shared" si="115"/>
        <v>10</v>
      </c>
      <c r="AW126" s="87">
        <f t="shared" si="115"/>
        <v>9</v>
      </c>
      <c r="AX126" s="87">
        <f t="shared" si="115"/>
        <v>8</v>
      </c>
      <c r="AY126" s="87">
        <f t="shared" si="115"/>
        <v>7</v>
      </c>
      <c r="AZ126" s="87">
        <f t="shared" si="115"/>
        <v>6</v>
      </c>
      <c r="BA126" s="87">
        <f t="shared" si="115"/>
        <v>5</v>
      </c>
      <c r="BB126" s="87">
        <f t="shared" si="115"/>
        <v>4</v>
      </c>
      <c r="BC126" s="87">
        <f t="shared" si="115"/>
        <v>3</v>
      </c>
      <c r="BD126" s="87">
        <f t="shared" si="115"/>
        <v>2</v>
      </c>
      <c r="BE126" s="87">
        <f>+BF126+1</f>
        <v>1</v>
      </c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</row>
    <row r="127" spans="1:69" s="70" customFormat="1" ht="14">
      <c r="A127" s="66"/>
      <c r="B127" s="66"/>
      <c r="C127" s="481"/>
      <c r="D127" s="66"/>
      <c r="E127" s="66"/>
      <c r="F127" s="66"/>
      <c r="BL127" s="66"/>
      <c r="BM127" s="66"/>
      <c r="BN127" s="66"/>
      <c r="BO127" s="66"/>
      <c r="BP127" s="66"/>
      <c r="BQ127" s="66"/>
    </row>
    <row r="128" spans="1:69" s="70" customFormat="1" ht="14">
      <c r="A128" s="66"/>
      <c r="B128" s="66"/>
      <c r="C128" s="481"/>
      <c r="D128" s="66"/>
      <c r="E128" s="66"/>
      <c r="F128" s="66"/>
      <c r="BL128" s="66"/>
      <c r="BM128" s="66"/>
      <c r="BN128" s="66"/>
      <c r="BO128" s="66"/>
      <c r="BP128" s="66"/>
      <c r="BQ128" s="66"/>
    </row>
    <row r="129" spans="1:69" s="120" customFormat="1" ht="14">
      <c r="A129" s="62" t="s">
        <v>67</v>
      </c>
      <c r="B129" s="119"/>
      <c r="C129" s="494"/>
      <c r="D129" s="119"/>
      <c r="E129" s="119"/>
      <c r="F129" s="119"/>
      <c r="G129" s="119"/>
      <c r="H129" s="119"/>
      <c r="I129" s="119"/>
      <c r="J129" s="119"/>
      <c r="K129" s="119"/>
      <c r="L129" s="119"/>
      <c r="M129" s="119"/>
      <c r="N129" s="119"/>
      <c r="O129" s="119"/>
      <c r="P129" s="119"/>
      <c r="Q129" s="119"/>
      <c r="R129" s="119"/>
      <c r="S129" s="119"/>
      <c r="T129" s="119"/>
      <c r="U129" s="119"/>
      <c r="V129" s="119"/>
      <c r="W129" s="119"/>
      <c r="X129" s="119"/>
      <c r="Y129" s="119"/>
      <c r="Z129" s="119"/>
      <c r="AA129" s="119"/>
      <c r="AB129" s="119"/>
      <c r="AC129" s="119"/>
      <c r="AD129" s="119"/>
      <c r="AE129" s="119"/>
      <c r="AF129" s="119"/>
      <c r="AG129" s="119"/>
      <c r="AH129" s="119"/>
      <c r="AI129" s="119"/>
      <c r="AJ129" s="119"/>
      <c r="AK129" s="119"/>
      <c r="AL129" s="119"/>
      <c r="AM129" s="119"/>
      <c r="AN129" s="119"/>
      <c r="AO129" s="119"/>
      <c r="AP129" s="119"/>
      <c r="AQ129" s="119"/>
      <c r="AR129" s="119"/>
      <c r="AS129" s="119"/>
      <c r="AT129" s="119"/>
      <c r="AU129" s="119"/>
      <c r="AV129" s="119"/>
      <c r="AW129" s="119"/>
      <c r="AX129" s="119"/>
      <c r="AY129" s="119"/>
      <c r="AZ129" s="119"/>
      <c r="BA129" s="119"/>
      <c r="BB129" s="119"/>
      <c r="BC129" s="119"/>
      <c r="BD129" s="119"/>
      <c r="BE129" s="119"/>
      <c r="BF129" s="119"/>
      <c r="BG129" s="119"/>
      <c r="BH129" s="119"/>
      <c r="BI129" s="119"/>
      <c r="BJ129" s="119"/>
      <c r="BK129" s="119"/>
      <c r="BL129" s="119"/>
      <c r="BM129" s="119"/>
      <c r="BN129" s="119"/>
      <c r="BO129" s="119"/>
      <c r="BP129" s="119"/>
      <c r="BQ129" s="119"/>
    </row>
    <row r="130" spans="1:69" s="120" customFormat="1" ht="14">
      <c r="A130" s="233" t="s">
        <v>231</v>
      </c>
      <c r="B130" s="666"/>
      <c r="C130" s="667">
        <f>SUM(D130:BQ148)</f>
        <v>7940250.3829320809</v>
      </c>
      <c r="D130" s="133"/>
      <c r="E130" s="133"/>
      <c r="F130" s="133"/>
      <c r="G130" s="133"/>
      <c r="H130" s="133"/>
      <c r="I130" s="133"/>
      <c r="J130" s="133"/>
      <c r="K130" s="133"/>
      <c r="L130" s="133"/>
      <c r="M130" s="133"/>
      <c r="N130" s="133"/>
      <c r="O130" s="133"/>
      <c r="P130" s="133"/>
      <c r="Q130" s="133"/>
      <c r="R130" s="133"/>
      <c r="S130" s="133"/>
      <c r="T130" s="133"/>
      <c r="U130" s="133"/>
      <c r="V130" s="133"/>
      <c r="W130" s="133"/>
      <c r="X130" s="133"/>
      <c r="Y130" s="133"/>
      <c r="Z130" s="133"/>
      <c r="AA130" s="133"/>
      <c r="AB130" s="133"/>
      <c r="AC130" s="133"/>
      <c r="AD130" s="133"/>
      <c r="AE130" s="133"/>
      <c r="AF130" s="133"/>
      <c r="AG130" s="133"/>
      <c r="AH130" s="133"/>
      <c r="AI130" s="133"/>
      <c r="AJ130" s="133"/>
      <c r="AK130" s="133"/>
      <c r="AL130" s="133"/>
      <c r="AM130" s="133"/>
      <c r="AN130" s="133"/>
      <c r="AO130" s="133"/>
      <c r="AP130" s="133"/>
      <c r="AQ130" s="133"/>
      <c r="AR130" s="133"/>
      <c r="AS130" s="133"/>
      <c r="AT130" s="133"/>
      <c r="AU130" s="133"/>
      <c r="AV130" s="133"/>
      <c r="AW130" s="133"/>
      <c r="AX130" s="133"/>
      <c r="AY130" s="133"/>
      <c r="AZ130" s="133"/>
      <c r="BA130" s="133"/>
      <c r="BB130" s="133"/>
      <c r="BC130" s="133"/>
      <c r="BD130" s="133"/>
      <c r="BE130" s="133"/>
      <c r="BF130" s="133"/>
      <c r="BG130" s="133"/>
      <c r="BH130" s="133"/>
      <c r="BI130" s="133"/>
      <c r="BJ130" s="133"/>
      <c r="BK130" s="133"/>
      <c r="BL130" s="133"/>
      <c r="BM130" s="133"/>
      <c r="BN130" s="133"/>
      <c r="BO130" s="133"/>
      <c r="BP130" s="133"/>
      <c r="BQ130" s="133"/>
    </row>
    <row r="131" spans="1:69" s="120" customFormat="1" ht="12.75" hidden="1" customHeight="1" outlineLevel="2">
      <c r="A131" s="232" t="s">
        <v>269</v>
      </c>
      <c r="B131" s="668">
        <v>0</v>
      </c>
      <c r="C131" s="669"/>
      <c r="D131" s="134"/>
      <c r="E131" s="134"/>
      <c r="F131" s="134"/>
      <c r="G131" s="134"/>
      <c r="H131" s="134"/>
      <c r="I131" s="134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135"/>
      <c r="AV131" s="135"/>
      <c r="AW131" s="135"/>
      <c r="AX131" s="135"/>
      <c r="AY131" s="135"/>
      <c r="AZ131" s="135"/>
      <c r="BA131" s="135"/>
      <c r="BB131" s="135"/>
      <c r="BC131" s="135"/>
      <c r="BD131" s="135"/>
      <c r="BE131" s="135"/>
      <c r="BF131" s="135"/>
      <c r="BG131" s="135"/>
      <c r="BH131" s="135"/>
      <c r="BI131" s="135"/>
      <c r="BJ131" s="135"/>
      <c r="BK131" s="135"/>
      <c r="BL131" s="135"/>
      <c r="BM131" s="135"/>
      <c r="BN131" s="135"/>
      <c r="BO131" s="135"/>
      <c r="BP131" s="135"/>
      <c r="BQ131" s="135"/>
    </row>
    <row r="132" spans="1:69" s="120" customFormat="1" ht="12.75" hidden="1" customHeight="1" outlineLevel="2">
      <c r="A132" s="121" t="s">
        <v>119</v>
      </c>
      <c r="B132" s="670">
        <f>+'Resid - Datos'!K45</f>
        <v>0.7</v>
      </c>
      <c r="C132" s="669">
        <f>SUM(D132:BQ132)</f>
        <v>137057.74922271256</v>
      </c>
      <c r="D132" s="134"/>
      <c r="E132" s="134"/>
      <c r="F132" s="134"/>
      <c r="G132" s="134"/>
      <c r="H132" s="134"/>
      <c r="I132" s="134"/>
      <c r="J132" s="135"/>
      <c r="K132" s="135">
        <f>+J101*J22*$B$132*(1+$B$131)</f>
        <v>51132.655833290992</v>
      </c>
      <c r="L132" s="135">
        <f>+K101*K22*$B$132*(1+$B$131)</f>
        <v>38766.334177957026</v>
      </c>
      <c r="M132" s="135">
        <f>+L101*L22*$B$132*(1+$B$131)</f>
        <v>33958.75295015303</v>
      </c>
      <c r="N132" s="135">
        <f>+M101*M22*$B$132*(1+$B$131)</f>
        <v>13200.006261311533</v>
      </c>
      <c r="O132" s="135">
        <f>+N101*N22*$B$132*(1+$B$131)</f>
        <v>0</v>
      </c>
      <c r="P132" s="135">
        <f>+O101*O22*$B$132*(1+$B$131)</f>
        <v>0</v>
      </c>
      <c r="Q132" s="135">
        <f>+P101*P22*$B$132*(1+$B$131)</f>
        <v>0</v>
      </c>
      <c r="R132" s="135">
        <f>+Q101*Q22*$B$132*(1+$B$131)</f>
        <v>0</v>
      </c>
      <c r="S132" s="135">
        <f>+R101*R22*$B$132*(1+$B$131)</f>
        <v>0</v>
      </c>
      <c r="T132" s="135">
        <f>+S101*S22*$B$132*(1+$B$131)</f>
        <v>0</v>
      </c>
      <c r="U132" s="135">
        <f>+T101*T22*$B$132*(1+$B$131)</f>
        <v>0</v>
      </c>
      <c r="V132" s="135">
        <f>+U101*U22*$B$132*(1+$B$131)</f>
        <v>0</v>
      </c>
      <c r="W132" s="135">
        <f>+V101*V22*$B$132*(1+$B$131)</f>
        <v>0</v>
      </c>
      <c r="X132" s="135">
        <f>+W101*W22*$B$132*(1+$B$131)</f>
        <v>0</v>
      </c>
      <c r="Y132" s="135">
        <f>+X101*X22*$B$132*(1+$B$131)</f>
        <v>0</v>
      </c>
      <c r="Z132" s="135">
        <f>+Y101*Y22*$B$132*(1+$B$131)</f>
        <v>0</v>
      </c>
      <c r="AA132" s="135">
        <f>+Z101*Z22*$B$132*(1+$B$131)</f>
        <v>0</v>
      </c>
      <c r="AB132" s="135">
        <f>+AA101*AA22*$B$132*(1+$B$131)</f>
        <v>0</v>
      </c>
      <c r="AC132" s="135">
        <f>+AB101*AB22*$B$132*(1+$B$131)</f>
        <v>0</v>
      </c>
      <c r="AD132" s="135">
        <f>+AC101*AC22*$B$132*(1+$B$131)</f>
        <v>0</v>
      </c>
      <c r="AE132" s="135">
        <f>+AD101*AD22*$B$132*(1+$B$131)</f>
        <v>0</v>
      </c>
      <c r="AF132" s="135">
        <f>+AE101*AE22*$B$132*(1+$B$131)</f>
        <v>0</v>
      </c>
      <c r="AG132" s="135">
        <f>+AF101*AF22*$B$132*(1+$B$131)</f>
        <v>0</v>
      </c>
      <c r="AH132" s="135">
        <f>+AG101*AG22*$B$132*(1+$B$131)</f>
        <v>0</v>
      </c>
      <c r="AI132" s="135">
        <f>+AH101*AH22*$B$132*(1+$B$131)</f>
        <v>0</v>
      </c>
      <c r="AJ132" s="135">
        <f>+AI101*AI22*$B$132*(1+$B$131)</f>
        <v>0</v>
      </c>
      <c r="AK132" s="135">
        <f>+AJ101*AJ22*$B$132*(1+$B$131)</f>
        <v>0</v>
      </c>
      <c r="AL132" s="135">
        <f>+AK101*AK22*$B$132*(1+$B$131)</f>
        <v>0</v>
      </c>
      <c r="AM132" s="135">
        <f>+AL101*AL22*$B$132*(1+$B$131)</f>
        <v>0</v>
      </c>
      <c r="AN132" s="135"/>
      <c r="AO132" s="135"/>
      <c r="AP132" s="135"/>
      <c r="AQ132" s="135"/>
      <c r="AR132" s="135"/>
      <c r="AS132" s="135"/>
      <c r="AT132" s="135"/>
      <c r="AU132" s="135"/>
      <c r="AV132" s="135"/>
      <c r="AW132" s="135"/>
      <c r="AX132" s="135"/>
      <c r="AY132" s="135"/>
      <c r="AZ132" s="135"/>
      <c r="BA132" s="135"/>
      <c r="BB132" s="135"/>
      <c r="BC132" s="135"/>
      <c r="BD132" s="135"/>
      <c r="BE132" s="135"/>
      <c r="BF132" s="135"/>
      <c r="BG132" s="135"/>
      <c r="BH132" s="135"/>
      <c r="BI132" s="135"/>
      <c r="BJ132" s="135"/>
      <c r="BK132" s="135"/>
      <c r="BL132" s="135"/>
      <c r="BM132" s="135"/>
      <c r="BN132" s="135"/>
      <c r="BO132" s="135"/>
      <c r="BP132" s="135"/>
      <c r="BQ132" s="135"/>
    </row>
    <row r="133" spans="1:69" s="120" customFormat="1" ht="12.75" hidden="1" customHeight="1" outlineLevel="2">
      <c r="A133" s="121" t="s">
        <v>1</v>
      </c>
      <c r="B133" s="670">
        <f>+'Resid - Datos'!K46</f>
        <v>0</v>
      </c>
      <c r="C133" s="669">
        <f>SUM(D133:BQ133)</f>
        <v>0</v>
      </c>
      <c r="D133" s="134"/>
      <c r="E133" s="134"/>
      <c r="F133" s="134"/>
      <c r="G133" s="134"/>
      <c r="H133" s="134"/>
      <c r="I133" s="134"/>
      <c r="J133" s="135"/>
      <c r="K133" s="134"/>
      <c r="L133" s="135">
        <f>+J101*J22*(1+$B$131)*$B$133/K123+K133</f>
        <v>0</v>
      </c>
      <c r="M133" s="135">
        <f>+K101*K22*(1+$B$131)*$B$133/L123+L133</f>
        <v>0</v>
      </c>
      <c r="N133" s="135">
        <f>+L101*L22*(1+$B$131)*$B$133/M123+M133</f>
        <v>0</v>
      </c>
      <c r="O133" s="135">
        <f>+M101*M22*(1+$B$131)*$B$133/N123+N133</f>
        <v>0</v>
      </c>
      <c r="P133" s="135">
        <f>+N101*N22*(1+$B$131)*$B$133/O123+O133</f>
        <v>0</v>
      </c>
      <c r="Q133" s="135">
        <f>+O101*O22*(1+$B$131)*$B$133/P123+P133</f>
        <v>0</v>
      </c>
      <c r="R133" s="135">
        <f>+P101*P22*(1+$B$131)*$B$133/Q123+Q133</f>
        <v>0</v>
      </c>
      <c r="S133" s="135">
        <f>+Q101*Q22*(1+$B$131)*$B$133/R123+R133</f>
        <v>0</v>
      </c>
      <c r="T133" s="135">
        <f>+R101*R22*(1+$B$131)*$B$133/S123+S133</f>
        <v>0</v>
      </c>
      <c r="U133" s="135">
        <f>+S101*S22*(1+$B$131)*$B$133/T123+T133</f>
        <v>0</v>
      </c>
      <c r="V133" s="135">
        <f>+T101*T22*(1+$B$131)*$B$133/U123+U133</f>
        <v>0</v>
      </c>
      <c r="W133" s="135">
        <f>+U101*U22*(1+$B$131)*$B$133/V123+V133</f>
        <v>0</v>
      </c>
      <c r="X133" s="135">
        <f>+V101*V22*(1+$B$131)*$B$133/W123+W133</f>
        <v>0</v>
      </c>
      <c r="Y133" s="135">
        <f>+W101*W22*(1+$B$131)*$B$133/X123+X133</f>
        <v>0</v>
      </c>
      <c r="Z133" s="135">
        <f>+X101*X22*(1+$B$131)*$B$133/Y123+Y133</f>
        <v>0</v>
      </c>
      <c r="AA133" s="135">
        <f>+Y101*Y22*(1+$B$131)*$B$133/Z123+Z133</f>
        <v>0</v>
      </c>
      <c r="AB133" s="135">
        <f>+Z101*Z22*(1+$B$131)*$B$133/AA123+AA133</f>
        <v>0</v>
      </c>
      <c r="AC133" s="135">
        <f>+AA101*AA22*(1+$B$131)*$B$133/AB123+AB133</f>
        <v>0</v>
      </c>
      <c r="AD133" s="135">
        <f>+AB101*AB22*(1+$B$131)*$B$133/AC123+AC133</f>
        <v>0</v>
      </c>
      <c r="AE133" s="135">
        <f>+AC101*AC22*(1+$B$131)*$B$133/AD123+AD133</f>
        <v>0</v>
      </c>
      <c r="AF133" s="135">
        <f>+AD101*AD22*(1+$B$131)*$B$133/AE123+AE133</f>
        <v>0</v>
      </c>
      <c r="AG133" s="135">
        <f>+AE101*AE22*(1+$B$131)*$B$133/AF123+AF133</f>
        <v>0</v>
      </c>
      <c r="AH133" s="135">
        <f>+AF101*AF22*(1+$B$131)*$B$133/AG123+AG133</f>
        <v>0</v>
      </c>
      <c r="AI133" s="135">
        <f>+AG101*AG22*(1+$B$131)*$B$133/AH123+AH133</f>
        <v>0</v>
      </c>
      <c r="AJ133" s="135">
        <f>+AH101*AH22*(1+$B$131)*$B$133/AI123+AI133</f>
        <v>0</v>
      </c>
      <c r="AK133" s="135">
        <f>+AI101*AI22*(1+$B$131)*$B$133/AJ123+AJ133</f>
        <v>0</v>
      </c>
      <c r="AL133" s="135">
        <f>+AJ101*AJ22*(1+$B$131)*$B$133/AK123+AK133</f>
        <v>0</v>
      </c>
      <c r="AM133" s="135">
        <f>+AK101*AK22*(1+$B$131)*$B$133/AL123+AL133</f>
        <v>0</v>
      </c>
      <c r="AN133" s="135">
        <f>+AL101*AL22*(1+$B$131)*$B$133/AM123+AM133</f>
        <v>0</v>
      </c>
      <c r="AO133" s="135"/>
      <c r="AP133" s="135"/>
      <c r="AQ133" s="135"/>
      <c r="AR133" s="135"/>
      <c r="AS133" s="135"/>
      <c r="AT133" s="135"/>
      <c r="AU133" s="135"/>
      <c r="AV133" s="135"/>
      <c r="AW133" s="135"/>
      <c r="AX133" s="135"/>
      <c r="AY133" s="135"/>
      <c r="AZ133" s="135"/>
      <c r="BA133" s="135"/>
      <c r="BB133" s="135"/>
      <c r="BC133" s="135"/>
      <c r="BD133" s="135"/>
      <c r="BE133" s="135"/>
      <c r="BF133" s="135"/>
      <c r="BG133" s="135"/>
      <c r="BH133" s="135"/>
      <c r="BI133" s="135"/>
      <c r="BJ133" s="135"/>
      <c r="BK133" s="135"/>
      <c r="BL133" s="135"/>
      <c r="BM133" s="135"/>
      <c r="BN133" s="135"/>
      <c r="BO133" s="135"/>
      <c r="BP133" s="135"/>
      <c r="BQ133" s="135"/>
    </row>
    <row r="134" spans="1:69" s="120" customFormat="1" ht="12.75" hidden="1" customHeight="1" outlineLevel="2">
      <c r="A134" s="121" t="s">
        <v>31</v>
      </c>
      <c r="B134" s="670">
        <f>+'Resid - Datos'!K47</f>
        <v>0.3</v>
      </c>
      <c r="C134" s="669">
        <f>SUM(D134:BQ134)</f>
        <v>58739.035381162539</v>
      </c>
      <c r="D134" s="134"/>
      <c r="E134" s="134"/>
      <c r="F134" s="134"/>
      <c r="G134" s="134"/>
      <c r="H134" s="134"/>
      <c r="I134" s="134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>
        <f>SUMPRODUCT($D$101:$AL$101,$D$22:$AL$22)*$B$134*(1+$B$131)/3</f>
        <v>19579.678460387513</v>
      </c>
      <c r="AO134" s="135">
        <f>SUMPRODUCT($D$101:$AL$101,$D$22:$AL$22)*$B$134*(1+$B$131)/3</f>
        <v>19579.678460387513</v>
      </c>
      <c r="AP134" s="135">
        <f>SUMPRODUCT($D$101:$AL$101,$D$22:$AL$22)*$B$134*(1+$B$131)/3</f>
        <v>19579.678460387513</v>
      </c>
      <c r="AQ134" s="135"/>
      <c r="AR134" s="135"/>
      <c r="AS134" s="135"/>
      <c r="AT134" s="135"/>
      <c r="AU134" s="135"/>
      <c r="AV134" s="135"/>
      <c r="AW134" s="135"/>
      <c r="AX134" s="135"/>
      <c r="AY134" s="135"/>
      <c r="AZ134" s="135"/>
      <c r="BA134" s="135"/>
      <c r="BB134" s="135"/>
      <c r="BC134" s="135"/>
      <c r="BD134" s="135"/>
      <c r="BE134" s="135"/>
      <c r="BF134" s="135"/>
      <c r="BG134" s="135"/>
      <c r="BH134" s="135"/>
      <c r="BI134" s="135"/>
      <c r="BJ134" s="135"/>
      <c r="BK134" s="135"/>
      <c r="BL134" s="135"/>
      <c r="BM134" s="135"/>
      <c r="BN134" s="135"/>
      <c r="BO134" s="135"/>
      <c r="BP134" s="135"/>
      <c r="BQ134" s="135"/>
    </row>
    <row r="135" spans="1:69" s="120" customFormat="1" ht="12.75" hidden="1" customHeight="1" outlineLevel="2">
      <c r="A135" s="121"/>
      <c r="B135" s="670"/>
      <c r="C135" s="669"/>
      <c r="D135" s="134"/>
      <c r="E135" s="134"/>
      <c r="F135" s="134"/>
      <c r="G135" s="134"/>
      <c r="H135" s="134"/>
      <c r="I135" s="134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135"/>
      <c r="AV135" s="135"/>
      <c r="AW135" s="135"/>
      <c r="AX135" s="135"/>
      <c r="AY135" s="135"/>
      <c r="AZ135" s="135"/>
      <c r="BA135" s="135"/>
      <c r="BB135" s="135"/>
      <c r="BC135" s="135"/>
      <c r="BD135" s="135"/>
      <c r="BE135" s="135"/>
      <c r="BF135" s="135"/>
      <c r="BG135" s="135"/>
      <c r="BH135" s="135"/>
      <c r="BI135" s="135"/>
      <c r="BJ135" s="135"/>
      <c r="BK135" s="135"/>
      <c r="BL135" s="135"/>
      <c r="BM135" s="135"/>
      <c r="BN135" s="135"/>
      <c r="BO135" s="135"/>
      <c r="BP135" s="135"/>
      <c r="BQ135" s="135"/>
    </row>
    <row r="136" spans="1:69" s="120" customFormat="1" ht="12.75" hidden="1" customHeight="1" outlineLevel="2">
      <c r="A136" s="232" t="s">
        <v>270</v>
      </c>
      <c r="B136" s="615">
        <f>+'Resid - Datos'!L50</f>
        <v>0</v>
      </c>
      <c r="C136" s="669"/>
      <c r="D136" s="134"/>
      <c r="E136" s="134"/>
      <c r="F136" s="134"/>
      <c r="G136" s="134"/>
      <c r="H136" s="134"/>
      <c r="I136" s="134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135"/>
      <c r="AV136" s="135"/>
      <c r="AW136" s="135"/>
      <c r="AX136" s="135"/>
      <c r="AY136" s="135"/>
      <c r="AZ136" s="135"/>
      <c r="BA136" s="135"/>
      <c r="BB136" s="135"/>
      <c r="BC136" s="135"/>
      <c r="BD136" s="135"/>
      <c r="BE136" s="135"/>
      <c r="BF136" s="135"/>
      <c r="BG136" s="135"/>
      <c r="BH136" s="135"/>
      <c r="BI136" s="135"/>
      <c r="BJ136" s="135"/>
      <c r="BK136" s="135"/>
      <c r="BL136" s="135"/>
      <c r="BM136" s="135"/>
      <c r="BN136" s="135"/>
      <c r="BO136" s="135"/>
      <c r="BP136" s="135"/>
      <c r="BQ136" s="135"/>
    </row>
    <row r="137" spans="1:69" s="120" customFormat="1" ht="12.75" hidden="1" customHeight="1" outlineLevel="2">
      <c r="A137" s="121" t="s">
        <v>119</v>
      </c>
      <c r="B137" s="670">
        <f>+'Resid - Datos'!L45</f>
        <v>0.3</v>
      </c>
      <c r="C137" s="669">
        <f>SUM(D137:BQ137)</f>
        <v>1301744.9182235922</v>
      </c>
      <c r="D137" s="134"/>
      <c r="E137" s="134"/>
      <c r="F137" s="134"/>
      <c r="G137" s="134"/>
      <c r="H137" s="134"/>
      <c r="I137" s="134"/>
      <c r="J137" s="135"/>
      <c r="K137" s="135">
        <f>+J101*(1+$B$136)*J23*$B$137</f>
        <v>87655.981428498853</v>
      </c>
      <c r="L137" s="135">
        <f>+K101*(1+$B$136)*K23*$B$137</f>
        <v>66456.572876497768</v>
      </c>
      <c r="M137" s="135">
        <f>+L101*(1+$B$136)*L23*$B$137</f>
        <v>58215.0050574052</v>
      </c>
      <c r="N137" s="135">
        <f>+M101*(1+$B$136)*M23*$B$137</f>
        <v>56571.455405620844</v>
      </c>
      <c r="O137" s="135">
        <f>+N101*(1+$B$136)*N23*$B$137</f>
        <v>63211.157803227936</v>
      </c>
      <c r="P137" s="135">
        <f>+O101*(1+$B$136)*O23*$B$137</f>
        <v>64193.714660272926</v>
      </c>
      <c r="Q137" s="135">
        <f>+P101*(1+$B$136)*P23*$B$137</f>
        <v>49520.865595067684</v>
      </c>
      <c r="R137" s="135">
        <f>+Q101*(1+$B$136)*Q23*$B$137</f>
        <v>50021.076358654238</v>
      </c>
      <c r="S137" s="135">
        <f>+R101*(1+$B$136)*R23*$B$137</f>
        <v>50021.076358654238</v>
      </c>
      <c r="T137" s="135">
        <f>+S101*(1+$B$136)*S23*$B$137</f>
        <v>39093.853130305353</v>
      </c>
      <c r="U137" s="135">
        <f>+T101*(1+$B$136)*T23*$B$137</f>
        <v>39480.920983080658</v>
      </c>
      <c r="V137" s="135">
        <f>+U101*(1+$B$136)*U23*$B$137</f>
        <v>39867.988835855955</v>
      </c>
      <c r="W137" s="135">
        <f>+V101*(1+$B$136)*V23*$B$137</f>
        <v>34681.279608666926</v>
      </c>
      <c r="X137" s="135">
        <f>+W101*(1+$B$136)*W23*$B$137</f>
        <v>35014.753451057957</v>
      </c>
      <c r="Y137" s="135">
        <f>+X101*(1+$B$136)*X23*$B$137</f>
        <v>35014.753451057957</v>
      </c>
      <c r="Z137" s="135">
        <f>+Y101*(1+$B$136)*Y23*$B$137</f>
        <v>37515.807268990669</v>
      </c>
      <c r="AA137" s="135">
        <f>+Z101*(1+$B$136)*Z23*$B$137</f>
        <v>37515.807268990669</v>
      </c>
      <c r="AB137" s="135">
        <f>+AA101*(1+$B$136)*AA23*$B$137</f>
        <v>37515.807268990669</v>
      </c>
      <c r="AC137" s="135">
        <f>+AB101*(1+$B$136)*AB23*$B$137</f>
        <v>40016.861086923389</v>
      </c>
      <c r="AD137" s="135">
        <f>+AC101*(1+$B$136)*AC23*$B$137</f>
        <v>40016.861086923389</v>
      </c>
      <c r="AE137" s="135">
        <f>+AD101*(1+$B$136)*AD23*$B$137</f>
        <v>40016.861086923389</v>
      </c>
      <c r="AF137" s="135">
        <f>+AE101*(1+$B$136)*AE23*$B$137</f>
        <v>42517.914904856087</v>
      </c>
      <c r="AG137" s="135">
        <f>+AF101*(1+$B$136)*AF23*$B$137</f>
        <v>42517.914904856087</v>
      </c>
      <c r="AH137" s="135">
        <f>+AG101*(1+$B$136)*AG23*$B$137</f>
        <v>42517.914904856087</v>
      </c>
      <c r="AI137" s="135">
        <f>+AH101*(1+$B$136)*AH23*$B$137</f>
        <v>33764.226542091594</v>
      </c>
      <c r="AJ137" s="135">
        <f>+AI101*(1+$B$136)*AI23*$B$137</f>
        <v>33764.226542091594</v>
      </c>
      <c r="AK137" s="135">
        <f>+AJ101*(1+$B$136)*AJ23*$B$137</f>
        <v>33764.226542091594</v>
      </c>
      <c r="AL137" s="135">
        <f>+AK101*(1+$B$136)*AK23*$B$137</f>
        <v>35640.016905541124</v>
      </c>
      <c r="AM137" s="135">
        <f>+AL101*(1+$B$136)*AL23*$B$137</f>
        <v>35640.016905541124</v>
      </c>
      <c r="AN137" s="135"/>
      <c r="AO137" s="135"/>
      <c r="AP137" s="135"/>
      <c r="AQ137" s="135"/>
      <c r="AR137" s="135"/>
      <c r="AS137" s="135"/>
      <c r="AT137" s="135"/>
      <c r="AU137" s="135"/>
      <c r="AV137" s="135"/>
      <c r="AW137" s="135"/>
      <c r="AX137" s="135"/>
      <c r="AY137" s="135"/>
      <c r="AZ137" s="135"/>
      <c r="BA137" s="135"/>
      <c r="BB137" s="135"/>
      <c r="BC137" s="135"/>
      <c r="BD137" s="135"/>
      <c r="BE137" s="135"/>
      <c r="BF137" s="135"/>
      <c r="BG137" s="135"/>
      <c r="BH137" s="135"/>
      <c r="BI137" s="135"/>
      <c r="BJ137" s="135"/>
      <c r="BK137" s="135"/>
      <c r="BL137" s="135"/>
      <c r="BM137" s="135"/>
      <c r="BN137" s="135"/>
      <c r="BO137" s="135"/>
      <c r="BP137" s="135"/>
      <c r="BQ137" s="135"/>
    </row>
    <row r="138" spans="1:69" s="120" customFormat="1" ht="12.75" hidden="1" customHeight="1" outlineLevel="2">
      <c r="A138" s="121" t="s">
        <v>1</v>
      </c>
      <c r="B138" s="670">
        <f>+'Resid - Datos'!L46</f>
        <v>0.6</v>
      </c>
      <c r="C138" s="669">
        <f>SUM(D138:BQ138)</f>
        <v>2603489.836447184</v>
      </c>
      <c r="D138" s="134"/>
      <c r="E138" s="134"/>
      <c r="F138" s="134"/>
      <c r="G138" s="134"/>
      <c r="H138" s="134"/>
      <c r="I138" s="134"/>
      <c r="J138" s="135"/>
      <c r="K138" s="135"/>
      <c r="L138" s="135">
        <f>+J101*J23*(1+$B$136)*$B$138/K123+K138</f>
        <v>6045.2400985171626</v>
      </c>
      <c r="M138" s="135">
        <f>+K101*K23*(1+$B$136)*$B$138/L123+L138</f>
        <v>10792.138161124145</v>
      </c>
      <c r="N138" s="135">
        <f>+L101*L23*(1+$B$136)*$B$138/M123+M138</f>
        <v>15104.360757968974</v>
      </c>
      <c r="O138" s="135">
        <f>+M101*M23*(1+$B$136)*$B$138/N123+N138</f>
        <v>19456.011173785962</v>
      </c>
      <c r="P138" s="135">
        <f>+N101*N23*(1+$B$136)*$B$138/O123+O138</f>
        <v>24512.903798044197</v>
      </c>
      <c r="Q138" s="135">
        <f>+O101*O23*(1+$B$136)*$B$138/P123+P138</f>
        <v>29862.38001973361</v>
      </c>
      <c r="R138" s="135">
        <f>+P101*P23*(1+$B$136)*$B$138/Q123+Q138</f>
        <v>34168.542245391669</v>
      </c>
      <c r="S138" s="135">
        <f>+Q101*Q23*(1+$B$136)*$B$138/R123+R138</f>
        <v>38715.912823451145</v>
      </c>
      <c r="T138" s="135">
        <f>+R101*R23*(1+$B$136)*$B$138/S123+S138</f>
        <v>43479.824857608692</v>
      </c>
      <c r="U138" s="135">
        <f>+S101*S23*(1+$B$136)*$B$138/T123+T138</f>
        <v>47389.210170639228</v>
      </c>
      <c r="V138" s="135">
        <f>+T101*T23*(1+$B$136)*$B$138/U123+U138</f>
        <v>51545.096589910878</v>
      </c>
      <c r="W138" s="135">
        <f>+U101*U23*(1+$B$136)*$B$138/V123+V138</f>
        <v>55974.873127228202</v>
      </c>
      <c r="X138" s="135">
        <f>+V101*V23*(1+$B$136)*$B$138/W123+W138</f>
        <v>60055.023669424314</v>
      </c>
      <c r="Y138" s="135">
        <f>+W101*W23*(1+$B$136)*$B$138/X123+X138</f>
        <v>64431.867850806557</v>
      </c>
      <c r="Z138" s="135">
        <f>+X101*X23*(1+$B$136)*$B$138/Y123+Y138</f>
        <v>69100.501644280957</v>
      </c>
      <c r="AA138" s="135">
        <f>+Y101*Y23*(1+$B$136)*$B$138/Z123+Z138</f>
        <v>74459.902682708198</v>
      </c>
      <c r="AB138" s="135">
        <f>+Z101*Z23*(1+$B$136)*$B$138/AA123+AA138</f>
        <v>80231.565339475987</v>
      </c>
      <c r="AC138" s="135">
        <f>+AA101*AA23*(1+$B$136)*$B$138/AB123+AB138</f>
        <v>86484.19988430776</v>
      </c>
      <c r="AD138" s="135">
        <f>+AB101*AB23*(1+$B$136)*$B$138/AC123+AC138</f>
        <v>93759.992809202915</v>
      </c>
      <c r="AE138" s="135">
        <f>+AC101*AC23*(1+$B$136)*$B$138/AD123+AD138</f>
        <v>101763.36502658759</v>
      </c>
      <c r="AF138" s="135">
        <f>+AD101*AD23*(1+$B$136)*$B$138/AE123+AE138</f>
        <v>110656.00082368168</v>
      </c>
      <c r="AG138" s="135">
        <f>+AE101*AE23*(1+$B$136)*$B$138/AF123+AF138</f>
        <v>121285.4795498957</v>
      </c>
      <c r="AH138" s="135">
        <f>+AF101*AF23*(1+$B$136)*$B$138/AG123+AG138</f>
        <v>133433.45523699743</v>
      </c>
      <c r="AI138" s="135">
        <f>+AG101*AG23*(1+$B$136)*$B$138/AH123+AH138</f>
        <v>147606.09353861611</v>
      </c>
      <c r="AJ138" s="135">
        <f>+AH101*AH23*(1+$B$136)*$B$138/AI123+AI138</f>
        <v>161111.78415545274</v>
      </c>
      <c r="AK138" s="135">
        <f>+AI101*AI23*(1+$B$136)*$B$138/AJ123+AJ138</f>
        <v>177993.89742649853</v>
      </c>
      <c r="AL138" s="135">
        <f>+AJ101*AJ23*(1+$B$136)*$B$138/AK123+AK138</f>
        <v>200503.38178789293</v>
      </c>
      <c r="AM138" s="135">
        <f>+AK101*AK23*(1+$B$136)*$B$138/AL123+AL138</f>
        <v>236143.39869343405</v>
      </c>
      <c r="AN138" s="135">
        <f>+AL101*AL23*(1+$B$136)*$B$138/AM123+AM138</f>
        <v>307423.43250451633</v>
      </c>
      <c r="AO138" s="135"/>
      <c r="AP138" s="135"/>
      <c r="AQ138" s="135"/>
      <c r="AR138" s="135"/>
      <c r="AS138" s="135"/>
      <c r="AT138" s="135"/>
      <c r="AU138" s="135"/>
      <c r="AV138" s="135"/>
      <c r="AW138" s="135"/>
      <c r="AX138" s="135"/>
      <c r="AY138" s="135"/>
      <c r="AZ138" s="135"/>
      <c r="BA138" s="135"/>
      <c r="BB138" s="135"/>
      <c r="BC138" s="135"/>
      <c r="BD138" s="135"/>
      <c r="BE138" s="135"/>
      <c r="BF138" s="135"/>
      <c r="BG138" s="135"/>
      <c r="BH138" s="135"/>
      <c r="BI138" s="135"/>
      <c r="BJ138" s="135"/>
      <c r="BK138" s="135"/>
      <c r="BL138" s="135"/>
      <c r="BM138" s="135"/>
      <c r="BN138" s="135"/>
      <c r="BO138" s="135"/>
      <c r="BP138" s="135"/>
      <c r="BQ138" s="135"/>
    </row>
    <row r="139" spans="1:69" s="120" customFormat="1" ht="12.75" hidden="1" customHeight="1" outlineLevel="2">
      <c r="A139" s="121" t="s">
        <v>31</v>
      </c>
      <c r="B139" s="670">
        <f>+'Resid - Datos'!L47</f>
        <v>0.1</v>
      </c>
      <c r="C139" s="669">
        <f>SUM(D139:BQ139)</f>
        <v>433914.97274119733</v>
      </c>
      <c r="D139" s="134"/>
      <c r="E139" s="134"/>
      <c r="F139" s="134"/>
      <c r="G139" s="134"/>
      <c r="H139" s="134"/>
      <c r="I139" s="134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>
        <f>SUMPRODUCT($D$101:$AL$101,$D$23:$AL$23)*(1+$B$136)*$B$139/3</f>
        <v>144638.32424706579</v>
      </c>
      <c r="AO139" s="135">
        <f>SUMPRODUCT($D$101:$AL$101,$D$23:$AL$23)*(1+$B$136)*$B$139/3</f>
        <v>144638.32424706579</v>
      </c>
      <c r="AP139" s="135">
        <f>SUMPRODUCT($D$101:$AL$101,$D$23:$AL$23)*(1+$B$136)*$B$139/3</f>
        <v>144638.32424706579</v>
      </c>
      <c r="AQ139" s="135"/>
      <c r="AR139" s="135"/>
      <c r="AS139" s="135"/>
      <c r="AT139" s="135"/>
      <c r="AU139" s="135"/>
      <c r="AV139" s="135"/>
      <c r="AW139" s="135"/>
      <c r="AX139" s="135"/>
      <c r="AY139" s="135"/>
      <c r="AZ139" s="135"/>
      <c r="BA139" s="135"/>
      <c r="BB139" s="135"/>
      <c r="BC139" s="135"/>
      <c r="BD139" s="135"/>
      <c r="BE139" s="135"/>
      <c r="BF139" s="135"/>
      <c r="BG139" s="135"/>
      <c r="BH139" s="135"/>
      <c r="BI139" s="135"/>
      <c r="BJ139" s="135"/>
      <c r="BK139" s="135"/>
      <c r="BL139" s="135"/>
      <c r="BM139" s="135"/>
      <c r="BN139" s="135"/>
      <c r="BO139" s="135"/>
      <c r="BP139" s="135"/>
      <c r="BQ139" s="135"/>
    </row>
    <row r="140" spans="1:69" s="120" customFormat="1" ht="12.75" hidden="1" customHeight="1" outlineLevel="2">
      <c r="A140" s="121"/>
      <c r="B140" s="670"/>
      <c r="C140" s="669"/>
      <c r="D140" s="134"/>
      <c r="E140" s="134"/>
      <c r="F140" s="134"/>
      <c r="G140" s="134"/>
      <c r="H140" s="134"/>
      <c r="I140" s="134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135"/>
      <c r="AV140" s="135"/>
      <c r="AW140" s="135"/>
      <c r="AX140" s="135"/>
      <c r="AY140" s="135"/>
      <c r="AZ140" s="135"/>
      <c r="BA140" s="135"/>
      <c r="BB140" s="135"/>
      <c r="BC140" s="135"/>
      <c r="BD140" s="135"/>
      <c r="BE140" s="135"/>
      <c r="BF140" s="135"/>
      <c r="BG140" s="135"/>
      <c r="BH140" s="135"/>
      <c r="BI140" s="135"/>
      <c r="BJ140" s="135"/>
      <c r="BK140" s="135"/>
      <c r="BL140" s="135"/>
      <c r="BM140" s="135"/>
      <c r="BN140" s="135"/>
      <c r="BO140" s="135"/>
      <c r="BP140" s="135"/>
      <c r="BQ140" s="135"/>
    </row>
    <row r="141" spans="1:69" s="120" customFormat="1" ht="12.75" hidden="1" customHeight="1" outlineLevel="2">
      <c r="A141" s="232" t="s">
        <v>271</v>
      </c>
      <c r="B141" s="615">
        <v>0</v>
      </c>
      <c r="C141" s="669"/>
      <c r="D141" s="134"/>
      <c r="E141" s="134"/>
      <c r="F141" s="134"/>
      <c r="G141" s="134"/>
      <c r="H141" s="134"/>
      <c r="I141" s="134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135"/>
      <c r="AV141" s="135"/>
      <c r="AW141" s="135"/>
      <c r="AX141" s="135"/>
      <c r="AY141" s="135"/>
      <c r="AZ141" s="135"/>
      <c r="BA141" s="135"/>
      <c r="BB141" s="135"/>
      <c r="BC141" s="135"/>
      <c r="BD141" s="135"/>
      <c r="BE141" s="135"/>
      <c r="BF141" s="135"/>
      <c r="BG141" s="135"/>
      <c r="BH141" s="135"/>
      <c r="BI141" s="135"/>
      <c r="BJ141" s="135"/>
      <c r="BK141" s="135"/>
      <c r="BL141" s="135"/>
      <c r="BM141" s="135"/>
      <c r="BN141" s="135"/>
      <c r="BO141" s="135"/>
      <c r="BP141" s="135"/>
      <c r="BQ141" s="135"/>
    </row>
    <row r="142" spans="1:69" s="120" customFormat="1" ht="12.75" hidden="1" customHeight="1" outlineLevel="2">
      <c r="A142" s="121" t="s">
        <v>119</v>
      </c>
      <c r="B142" s="670">
        <f>+'Resid - Datos'!M45</f>
        <v>0.1</v>
      </c>
      <c r="C142" s="669">
        <f>SUM(D142:BQ142)</f>
        <v>244656.6574042034</v>
      </c>
      <c r="D142" s="134"/>
      <c r="E142" s="134"/>
      <c r="F142" s="134"/>
      <c r="G142" s="134"/>
      <c r="H142" s="134"/>
      <c r="I142" s="134"/>
      <c r="J142" s="135"/>
      <c r="K142" s="135">
        <f>+J101*J24*(1+$B$141)*$B$142</f>
        <v>36523.325595207854</v>
      </c>
      <c r="L142" s="135">
        <f>+K101*K24*(1+$B$141)*$B$142</f>
        <v>27690.238698540736</v>
      </c>
      <c r="M142" s="135">
        <f>+L101*L24*(1+$B$141)*$B$142</f>
        <v>24256.252107252167</v>
      </c>
      <c r="N142" s="135">
        <f>+M101*M24*(1+$B$141)*$B$142</f>
        <v>16971.436621686258</v>
      </c>
      <c r="O142" s="135">
        <f>+N101*N24*(1+$B$141)*$B$142</f>
        <v>17239.406673607617</v>
      </c>
      <c r="P142" s="135">
        <f>+O101*O24*(1+$B$141)*$B$142</f>
        <v>17507.376725528982</v>
      </c>
      <c r="Q142" s="135">
        <f>+P101*P24*(1+$B$141)*$B$142</f>
        <v>11004.636798903932</v>
      </c>
      <c r="R142" s="135">
        <f>+Q101*Q24*(1+$B$141)*$B$142</f>
        <v>11115.79474636761</v>
      </c>
      <c r="S142" s="135">
        <f>+R101*R24*(1+$B$141)*$B$142</f>
        <v>11115.79474636761</v>
      </c>
      <c r="T142" s="135">
        <f>+S101*S24*(1+$B$141)*$B$142</f>
        <v>7016.8454336445502</v>
      </c>
      <c r="U142" s="135">
        <f>+T101*T24*(1+$B$141)*$B$142</f>
        <v>7086.3191508093487</v>
      </c>
      <c r="V142" s="135">
        <f>+U101*U24*(1+$B$141)*$B$142</f>
        <v>7155.7928679741453</v>
      </c>
      <c r="W142" s="135">
        <f>+V101*V24*(1+$B$141)*$B$142</f>
        <v>4954.4685155238476</v>
      </c>
      <c r="X142" s="135">
        <f>+W101*W24*(1+$B$141)*$B$142</f>
        <v>5002.1076358654227</v>
      </c>
      <c r="Y142" s="135">
        <f>+X101*X24*(1+$B$141)*$B$142</f>
        <v>5002.1076358654227</v>
      </c>
      <c r="Z142" s="135">
        <f>+Y101*Y24*(1+$B$141)*$B$142</f>
        <v>4168.4230298878529</v>
      </c>
      <c r="AA142" s="135">
        <f>+Z101*Z24*(1+$B$141)*$B$142</f>
        <v>4168.4230298878529</v>
      </c>
      <c r="AB142" s="135">
        <f>+AA101*AA24*(1+$B$141)*$B$142</f>
        <v>4168.4230298878529</v>
      </c>
      <c r="AC142" s="135">
        <f>+AB101*AB24*(1+$B$141)*$B$142</f>
        <v>3334.7384239102826</v>
      </c>
      <c r="AD142" s="135">
        <f>+AC101*AC24*(1+$B$141)*$B$142</f>
        <v>3334.7384239102826</v>
      </c>
      <c r="AE142" s="135">
        <f>+AD101*AD24*(1+$B$141)*$B$142</f>
        <v>3334.7384239102826</v>
      </c>
      <c r="AF142" s="135">
        <f>+AE101*AE24*(1+$B$141)*$B$142</f>
        <v>2501.0538179327114</v>
      </c>
      <c r="AG142" s="135">
        <f>+AF101*AF24*(1+$B$141)*$B$142</f>
        <v>2501.0538179327114</v>
      </c>
      <c r="AH142" s="135">
        <f>+AG101*AG24*(1+$B$141)*$B$142</f>
        <v>2501.0538179327114</v>
      </c>
      <c r="AI142" s="135">
        <f>+AH101*AH24*(1+$B$141)*$B$142</f>
        <v>1250.5269089663554</v>
      </c>
      <c r="AJ142" s="135">
        <f>+AI101*AI24*(1+$B$141)*$B$142</f>
        <v>1250.5269089663554</v>
      </c>
      <c r="AK142" s="135">
        <f>+AJ101*AJ24*(1+$B$141)*$B$142</f>
        <v>1250.5269089663554</v>
      </c>
      <c r="AL142" s="135">
        <f>+AK101*AK24*(1+$B$141)*$B$142</f>
        <v>625.26345448317772</v>
      </c>
      <c r="AM142" s="135">
        <f>+AL101*AL24*(1+$B$141)*$B$142</f>
        <v>625.26345448317772</v>
      </c>
      <c r="AN142" s="135"/>
      <c r="AO142" s="135"/>
      <c r="AP142" s="135"/>
      <c r="AQ142" s="135"/>
      <c r="AR142" s="135"/>
      <c r="AS142" s="135"/>
      <c r="AT142" s="135"/>
      <c r="AU142" s="135"/>
      <c r="AV142" s="135"/>
      <c r="AW142" s="135"/>
      <c r="AX142" s="135"/>
      <c r="AY142" s="135"/>
      <c r="AZ142" s="135"/>
      <c r="BA142" s="135"/>
      <c r="BB142" s="135"/>
      <c r="BC142" s="135"/>
      <c r="BD142" s="135"/>
      <c r="BE142" s="135"/>
      <c r="BF142" s="135"/>
      <c r="BG142" s="135"/>
      <c r="BH142" s="135"/>
      <c r="BI142" s="135"/>
      <c r="BJ142" s="135"/>
      <c r="BK142" s="135"/>
      <c r="BL142" s="135"/>
      <c r="BM142" s="135"/>
      <c r="BN142" s="135"/>
      <c r="BO142" s="135"/>
      <c r="BP142" s="135"/>
      <c r="BQ142" s="135"/>
    </row>
    <row r="143" spans="1:69" s="120" customFormat="1" ht="12.75" hidden="1" customHeight="1" outlineLevel="2">
      <c r="A143" s="121" t="s">
        <v>1</v>
      </c>
      <c r="B143" s="670">
        <f>+'Resid - Datos'!M46</f>
        <v>0.2</v>
      </c>
      <c r="C143" s="669">
        <f>SUM(D143:BQ143)</f>
        <v>489313.31480840698</v>
      </c>
      <c r="D143" s="134"/>
      <c r="E143" s="134"/>
      <c r="F143" s="134"/>
      <c r="G143" s="134"/>
      <c r="H143" s="134"/>
      <c r="I143" s="134"/>
      <c r="J143" s="135"/>
      <c r="K143" s="135"/>
      <c r="L143" s="135">
        <f>+J101*J24*(1+$B$141)*$B$143/K123+K143</f>
        <v>2518.8500410488177</v>
      </c>
      <c r="M143" s="135">
        <f>+K101*K24*(1+$B$141)*$B$143/L123+L143</f>
        <v>4496.7242338017277</v>
      </c>
      <c r="N143" s="135">
        <f>+L101*L24*(1+$B$141)*$B$143/M123+M143</f>
        <v>6293.4836491537399</v>
      </c>
      <c r="O143" s="135">
        <f>+M101*M24*(1+$B$141)*$B$143/N123+N143</f>
        <v>7598.9787738988362</v>
      </c>
      <c r="P143" s="135">
        <f>+N101*N24*(1+$B$141)*$B$143/O123+O143</f>
        <v>8978.1313077874456</v>
      </c>
      <c r="Q143" s="135">
        <f>+O101*O24*(1+$B$141)*$B$143/P123+P143</f>
        <v>10437.079368248194</v>
      </c>
      <c r="R143" s="135">
        <f>+P101*P24*(1+$B$141)*$B$143/Q123+Q143</f>
        <v>11394.00430728332</v>
      </c>
      <c r="S143" s="135">
        <f>+Q101*Q24*(1+$B$141)*$B$143/R123+R143</f>
        <v>12404.531102407647</v>
      </c>
      <c r="T143" s="135">
        <f>+R101*R24*(1+$B$141)*$B$143/S123+S143</f>
        <v>13463.178221109325</v>
      </c>
      <c r="U143" s="135">
        <f>+S101*S24*(1+$B$141)*$B$143/T123+T143</f>
        <v>14164.862764473781</v>
      </c>
      <c r="V143" s="135">
        <f>+T101*T24*(1+$B$141)*$B$143/U123+U143</f>
        <v>14910.791096137922</v>
      </c>
      <c r="W143" s="135">
        <f>+U101*U24*(1+$B$141)*$B$143/V123+V143</f>
        <v>15705.879192579494</v>
      </c>
      <c r="X143" s="135">
        <f>+V101*V24*(1+$B$141)*$B$143/W123+W143</f>
        <v>16288.757841464652</v>
      </c>
      <c r="Y143" s="135">
        <f>+W101*W24*(1+$B$141)*$B$143/X123+X143</f>
        <v>16914.02129594783</v>
      </c>
      <c r="Z143" s="135">
        <f>+X101*X24*(1+$B$141)*$B$143/Y123+Y143</f>
        <v>17580.968980729886</v>
      </c>
      <c r="AA143" s="135">
        <f>+Y101*Y24*(1+$B$141)*$B$143/Z123+Z143</f>
        <v>18176.457984999579</v>
      </c>
      <c r="AB143" s="135">
        <f>+Z101*Z24*(1+$B$141)*$B$143/AA123+AA143</f>
        <v>18817.753835751555</v>
      </c>
      <c r="AC143" s="135">
        <f>+AA101*AA24*(1+$B$141)*$B$143/AB123+AB143</f>
        <v>19512.491007399531</v>
      </c>
      <c r="AD143" s="135">
        <f>+AB101*AB24*(1+$B$141)*$B$143/AC123+AC143</f>
        <v>20118.807084474127</v>
      </c>
      <c r="AE143" s="135">
        <f>+AC101*AC24*(1+$B$141)*$B$143/AD123+AD143</f>
        <v>20785.754769256182</v>
      </c>
      <c r="AF143" s="135">
        <f>+AD101*AD24*(1+$B$141)*$B$143/AE123+AE143</f>
        <v>21526.807752347355</v>
      </c>
      <c r="AG143" s="135">
        <f>+AE101*AE24*(1+$B$141)*$B$143/AF123+AF143</f>
        <v>22152.071206830533</v>
      </c>
      <c r="AH143" s="135">
        <f>+AF101*AF24*(1+$B$141)*$B$143/AG123+AG143</f>
        <v>22866.658011954165</v>
      </c>
      <c r="AI143" s="135">
        <f>+AG101*AG24*(1+$B$141)*$B$143/AH123+AH143</f>
        <v>23700.342617931736</v>
      </c>
      <c r="AJ143" s="135">
        <f>+AH101*AH24*(1+$B$141)*$B$143/AI123+AI143</f>
        <v>24200.553381518279</v>
      </c>
      <c r="AK143" s="135">
        <f>+AI101*AI24*(1+$B$141)*$B$143/AJ123+AJ143</f>
        <v>24825.816836001457</v>
      </c>
      <c r="AL143" s="135">
        <f>+AJ101*AJ24*(1+$B$141)*$B$143/AK123+AK143</f>
        <v>25659.501441979028</v>
      </c>
      <c r="AM143" s="135">
        <f>+AK101*AK24*(1+$B$141)*$B$143/AL123+AL143</f>
        <v>26284.764896462206</v>
      </c>
      <c r="AN143" s="135">
        <f>+AL101*AL24*(1+$B$141)*$B$143/AM123+AM143</f>
        <v>27535.291805428562</v>
      </c>
      <c r="AO143" s="135"/>
      <c r="AP143" s="135"/>
      <c r="AQ143" s="135"/>
      <c r="AR143" s="135"/>
      <c r="AS143" s="135"/>
      <c r="AT143" s="135"/>
      <c r="AU143" s="135"/>
      <c r="AV143" s="135"/>
      <c r="AW143" s="135"/>
      <c r="AX143" s="135"/>
      <c r="AY143" s="135"/>
      <c r="AZ143" s="135"/>
      <c r="BA143" s="135"/>
      <c r="BB143" s="135"/>
      <c r="BC143" s="135"/>
      <c r="BD143" s="135"/>
      <c r="BE143" s="135"/>
      <c r="BF143" s="135"/>
      <c r="BG143" s="135"/>
      <c r="BH143" s="135"/>
      <c r="BI143" s="135"/>
      <c r="BJ143" s="135"/>
      <c r="BK143" s="135"/>
      <c r="BL143" s="135"/>
      <c r="BM143" s="135"/>
      <c r="BN143" s="135"/>
      <c r="BO143" s="135"/>
      <c r="BP143" s="135"/>
      <c r="BQ143" s="135"/>
    </row>
    <row r="144" spans="1:69" s="120" customFormat="1" ht="12.75" hidden="1" customHeight="1" outlineLevel="2">
      <c r="A144" s="121" t="s">
        <v>31</v>
      </c>
      <c r="B144" s="670">
        <f>+'Resid - Datos'!M47</f>
        <v>0.7</v>
      </c>
      <c r="C144" s="669">
        <f>SUM(D144:BQ144)</f>
        <v>1712596.601829424</v>
      </c>
      <c r="D144" s="134"/>
      <c r="E144" s="134"/>
      <c r="F144" s="134"/>
      <c r="G144" s="134"/>
      <c r="H144" s="134"/>
      <c r="I144" s="134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>
        <f>SUMPRODUCT($D$101:$AL$101,$D$24:$AL$24)*(1+$B$141)*$B$144/3</f>
        <v>570865.53394314134</v>
      </c>
      <c r="AO144" s="135">
        <f>SUMPRODUCT($D$101:$AL$101,$D$24:$AL$24)*(1+$B$141)*$B$144/3</f>
        <v>570865.53394314134</v>
      </c>
      <c r="AP144" s="135">
        <f>SUMPRODUCT($D$101:$AL$101,$D$24:$AL$24)*(1+$B$141)*$B$144/3</f>
        <v>570865.53394314134</v>
      </c>
      <c r="AQ144" s="135"/>
      <c r="AR144" s="135"/>
      <c r="AS144" s="135"/>
      <c r="AT144" s="135"/>
      <c r="AU144" s="135"/>
      <c r="AV144" s="135"/>
      <c r="AW144" s="135"/>
      <c r="AX144" s="135"/>
      <c r="AY144" s="135"/>
      <c r="AZ144" s="135"/>
      <c r="BA144" s="135"/>
      <c r="BB144" s="135"/>
      <c r="BC144" s="135"/>
      <c r="BD144" s="135"/>
      <c r="BE144" s="135"/>
      <c r="BF144" s="135"/>
      <c r="BG144" s="135"/>
      <c r="BH144" s="135"/>
      <c r="BI144" s="135"/>
      <c r="BJ144" s="135"/>
      <c r="BK144" s="135"/>
      <c r="BL144" s="135"/>
      <c r="BM144" s="135"/>
      <c r="BN144" s="135"/>
      <c r="BO144" s="135"/>
      <c r="BP144" s="135"/>
      <c r="BQ144" s="135"/>
    </row>
    <row r="145" spans="1:69" s="120" customFormat="1" ht="12.75" hidden="1" customHeight="1" outlineLevel="2">
      <c r="A145" s="121"/>
      <c r="B145" s="670"/>
      <c r="C145" s="669"/>
      <c r="D145" s="134"/>
      <c r="E145" s="134"/>
      <c r="F145" s="134"/>
      <c r="G145" s="134"/>
      <c r="H145" s="134"/>
      <c r="I145" s="134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135"/>
      <c r="AV145" s="135"/>
      <c r="AW145" s="135"/>
      <c r="AX145" s="135"/>
      <c r="AY145" s="135"/>
      <c r="AZ145" s="135"/>
      <c r="BA145" s="135"/>
      <c r="BB145" s="135"/>
      <c r="BC145" s="135"/>
      <c r="BD145" s="135"/>
      <c r="BE145" s="135"/>
      <c r="BF145" s="135"/>
      <c r="BG145" s="135"/>
      <c r="BH145" s="135"/>
      <c r="BI145" s="135"/>
      <c r="BJ145" s="135"/>
      <c r="BK145" s="135"/>
      <c r="BL145" s="135"/>
      <c r="BM145" s="135"/>
      <c r="BN145" s="135"/>
      <c r="BO145" s="135"/>
      <c r="BP145" s="135"/>
      <c r="BQ145" s="135"/>
    </row>
    <row r="146" spans="1:69" s="120" customFormat="1" ht="12.75" hidden="1" customHeight="1" outlineLevel="2">
      <c r="A146" s="232" t="s">
        <v>139</v>
      </c>
      <c r="B146" s="670"/>
      <c r="C146" s="669"/>
      <c r="D146" s="134"/>
      <c r="E146" s="134"/>
      <c r="F146" s="134"/>
      <c r="G146" s="134"/>
      <c r="H146" s="134"/>
      <c r="I146" s="134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135"/>
      <c r="AV146" s="135"/>
      <c r="AW146" s="135"/>
      <c r="AX146" s="135"/>
      <c r="AY146" s="135"/>
      <c r="AZ146" s="135"/>
      <c r="BA146" s="135"/>
      <c r="BB146" s="135"/>
      <c r="BC146" s="135"/>
      <c r="BD146" s="135"/>
      <c r="BE146" s="135"/>
      <c r="BF146" s="135"/>
      <c r="BG146" s="135"/>
      <c r="BH146" s="135"/>
      <c r="BI146" s="135"/>
      <c r="BJ146" s="135"/>
      <c r="BK146" s="135"/>
      <c r="BL146" s="135"/>
      <c r="BM146" s="135"/>
      <c r="BN146" s="135"/>
      <c r="BO146" s="135"/>
      <c r="BP146" s="135"/>
      <c r="BQ146" s="135"/>
    </row>
    <row r="147" spans="1:69" s="120" customFormat="1" ht="12.75" hidden="1" customHeight="1" outlineLevel="2">
      <c r="A147" s="121" t="str">
        <f>+A132</f>
        <v>Boleto</v>
      </c>
      <c r="B147" s="670">
        <f>+'Resid - Datos'!O45</f>
        <v>0.3</v>
      </c>
      <c r="C147" s="669">
        <f>SUM(D147:BQ147)</f>
        <v>287621.18906226178</v>
      </c>
      <c r="D147" s="134"/>
      <c r="E147" s="134"/>
      <c r="F147" s="134"/>
      <c r="G147" s="134"/>
      <c r="H147" s="134"/>
      <c r="I147" s="134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>
        <f>+AM101*$B$147</f>
        <v>37515.807268990662</v>
      </c>
      <c r="AO147" s="135">
        <f>+AN101*$B$147</f>
        <v>37515.807268990662</v>
      </c>
      <c r="AP147" s="135">
        <f>+AO101*$B$147</f>
        <v>37515.807268990662</v>
      </c>
      <c r="AQ147" s="135">
        <f>+AP101*$B$147</f>
        <v>37515.807268990662</v>
      </c>
      <c r="AR147" s="135">
        <f>+AQ101*$B$147</f>
        <v>37515.807268990662</v>
      </c>
      <c r="AS147" s="135">
        <f>+AR101*$B$147</f>
        <v>25010.538179327112</v>
      </c>
      <c r="AT147" s="135">
        <f>+AS101*$B$147</f>
        <v>25010.538179327112</v>
      </c>
      <c r="AU147" s="135">
        <f>+AT101*$B$147</f>
        <v>25010.538179327112</v>
      </c>
      <c r="AV147" s="135">
        <f>+AU101*$B$147</f>
        <v>25010.538179327112</v>
      </c>
      <c r="AW147" s="135">
        <f>+AV101*$B$147</f>
        <v>0</v>
      </c>
      <c r="AX147" s="135">
        <f>+AW101*$B$147</f>
        <v>0</v>
      </c>
      <c r="AY147" s="135">
        <f>+AX101*$B$147</f>
        <v>0</v>
      </c>
      <c r="AZ147" s="135">
        <f>+AY101*$B$147</f>
        <v>0</v>
      </c>
      <c r="BA147" s="135">
        <f>+AZ101*$B$147</f>
        <v>0</v>
      </c>
      <c r="BB147" s="135">
        <f>+BA101*$B$147</f>
        <v>0</v>
      </c>
      <c r="BC147" s="135">
        <f>+BB101*$B$147</f>
        <v>0</v>
      </c>
      <c r="BD147" s="135">
        <f>+BC101*$B$147</f>
        <v>0</v>
      </c>
      <c r="BE147" s="135">
        <f>+BD101*$B$147</f>
        <v>0</v>
      </c>
      <c r="BF147" s="135">
        <f>+BE101*$B$147</f>
        <v>0</v>
      </c>
      <c r="BG147" s="135">
        <f>+BF101*$B$147</f>
        <v>0</v>
      </c>
      <c r="BH147" s="135">
        <f>+BG101*$B$147</f>
        <v>0</v>
      </c>
      <c r="BI147" s="135">
        <f>+BH101*$B$147</f>
        <v>0</v>
      </c>
      <c r="BJ147" s="135">
        <f>+BI101*$B$147</f>
        <v>0</v>
      </c>
      <c r="BK147" s="135">
        <f>+BJ101*$B$147</f>
        <v>0</v>
      </c>
      <c r="BL147" s="135">
        <f>+BK101*$B$147</f>
        <v>0</v>
      </c>
      <c r="BM147" s="135">
        <f>+BL101*$B$147</f>
        <v>0</v>
      </c>
      <c r="BN147" s="135">
        <f>+BM101*$B$147</f>
        <v>0</v>
      </c>
      <c r="BO147" s="135">
        <f>+BN101*$B$147</f>
        <v>0</v>
      </c>
      <c r="BP147" s="135">
        <f>+BO101*$B$147</f>
        <v>0</v>
      </c>
      <c r="BQ147" s="135"/>
    </row>
    <row r="148" spans="1:69" s="120" customFormat="1" ht="12.75" hidden="1" customHeight="1" outlineLevel="2">
      <c r="A148" s="121" t="str">
        <f>+A134</f>
        <v>Posesión</v>
      </c>
      <c r="B148" s="670">
        <f>+'Resid - Datos'!O47</f>
        <v>0.7</v>
      </c>
      <c r="C148" s="669">
        <f>SUM(D148:BQ148)</f>
        <v>671116.10781194421</v>
      </c>
      <c r="D148" s="134"/>
      <c r="E148" s="134"/>
      <c r="F148" s="134"/>
      <c r="G148" s="134"/>
      <c r="H148" s="134"/>
      <c r="I148" s="134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>
        <f>+AM101*$B$148</f>
        <v>87536.883627644871</v>
      </c>
      <c r="AP148" s="135">
        <f>+AN101*$B$148</f>
        <v>87536.883627644871</v>
      </c>
      <c r="AQ148" s="135">
        <f>+AO101*$B$148</f>
        <v>87536.883627644871</v>
      </c>
      <c r="AR148" s="135">
        <f>+AP101*$B$148</f>
        <v>87536.883627644871</v>
      </c>
      <c r="AS148" s="135">
        <f>+AQ101*$B$148</f>
        <v>87536.883627644871</v>
      </c>
      <c r="AT148" s="135">
        <f>+AR101*$B$148</f>
        <v>58357.922418429931</v>
      </c>
      <c r="AU148" s="135">
        <f>+AS101*$B$148</f>
        <v>58357.922418429931</v>
      </c>
      <c r="AV148" s="135">
        <f>+AT101*$B$148</f>
        <v>58357.922418429931</v>
      </c>
      <c r="AW148" s="135">
        <f>+AU101*$B$148</f>
        <v>58357.922418429931</v>
      </c>
      <c r="AX148" s="135">
        <f>+AV101*$B$148</f>
        <v>0</v>
      </c>
      <c r="AY148" s="135">
        <f>+AW101*$B$148</f>
        <v>0</v>
      </c>
      <c r="AZ148" s="135">
        <f>+AX101*$B$148</f>
        <v>0</v>
      </c>
      <c r="BA148" s="135">
        <f>+AY101*$B$148</f>
        <v>0</v>
      </c>
      <c r="BB148" s="135">
        <f>+AZ101*$B$148</f>
        <v>0</v>
      </c>
      <c r="BC148" s="135">
        <f>+BA101*$B$148</f>
        <v>0</v>
      </c>
      <c r="BD148" s="135">
        <f>+BB101*$B$148</f>
        <v>0</v>
      </c>
      <c r="BE148" s="135">
        <f>+BC101*$B$148</f>
        <v>0</v>
      </c>
      <c r="BF148" s="135">
        <f>+BD101*$B$148</f>
        <v>0</v>
      </c>
      <c r="BG148" s="135">
        <f>+BE101*$B$148</f>
        <v>0</v>
      </c>
      <c r="BH148" s="135">
        <f>+BF101*$B$148</f>
        <v>0</v>
      </c>
      <c r="BI148" s="135">
        <f>+BG101*$B$148</f>
        <v>0</v>
      </c>
      <c r="BJ148" s="135">
        <f>+BH101*$B$148</f>
        <v>0</v>
      </c>
      <c r="BK148" s="135">
        <f>+BI101*$B$148</f>
        <v>0</v>
      </c>
      <c r="BL148" s="135">
        <f>+BJ101*$B$148</f>
        <v>0</v>
      </c>
      <c r="BM148" s="135">
        <f>+BK101*$B$148</f>
        <v>0</v>
      </c>
      <c r="BN148" s="135">
        <f>+BL101*$B$148</f>
        <v>0</v>
      </c>
      <c r="BO148" s="135">
        <f>+BM101*$B$148</f>
        <v>0</v>
      </c>
      <c r="BP148" s="135">
        <f>+BN101*$B$148</f>
        <v>0</v>
      </c>
      <c r="BQ148" s="135">
        <f>+BO101*$B$148</f>
        <v>0</v>
      </c>
    </row>
    <row r="149" spans="1:69" s="112" customFormat="1" ht="14" collapsed="1">
      <c r="A149" s="233" t="s">
        <v>232</v>
      </c>
      <c r="B149" s="671"/>
      <c r="C149" s="667">
        <f>SUM(D149:BQ167)</f>
        <v>8320796.9450633973</v>
      </c>
      <c r="D149" s="82"/>
      <c r="E149" s="82"/>
      <c r="F149" s="82"/>
      <c r="G149" s="82"/>
      <c r="H149" s="82"/>
      <c r="I149" s="82"/>
      <c r="J149" s="82"/>
      <c r="K149" s="82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82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</row>
    <row r="150" spans="1:69" s="112" customFormat="1" ht="14" hidden="1" outlineLevel="1">
      <c r="A150" s="232" t="s">
        <v>269</v>
      </c>
      <c r="B150" s="615">
        <f>+B131</f>
        <v>0</v>
      </c>
      <c r="C150" s="633"/>
      <c r="D150" s="84"/>
      <c r="E150" s="84"/>
      <c r="F150" s="84"/>
      <c r="G150" s="84"/>
      <c r="H150" s="84"/>
      <c r="I150" s="84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  <c r="AU150" s="16"/>
      <c r="AV150" s="16"/>
      <c r="AW150" s="16"/>
      <c r="AX150" s="16"/>
      <c r="AY150" s="16"/>
      <c r="AZ150" s="16"/>
      <c r="BA150" s="16"/>
      <c r="BB150" s="16"/>
      <c r="BC150" s="16"/>
      <c r="BD150" s="16"/>
      <c r="BE150" s="16"/>
      <c r="BF150" s="16"/>
      <c r="BG150" s="16"/>
      <c r="BH150" s="16"/>
      <c r="BI150" s="16"/>
      <c r="BJ150" s="16"/>
      <c r="BK150" s="16"/>
      <c r="BL150" s="16"/>
      <c r="BM150" s="16"/>
      <c r="BN150" s="16"/>
      <c r="BO150" s="16"/>
      <c r="BP150" s="16"/>
      <c r="BQ150" s="16"/>
    </row>
    <row r="151" spans="1:69" s="112" customFormat="1" ht="14" hidden="1" outlineLevel="1">
      <c r="A151" s="121" t="s">
        <v>119</v>
      </c>
      <c r="B151" s="670">
        <f t="shared" ref="B151:B167" si="116">+B132</f>
        <v>0.7</v>
      </c>
      <c r="C151" s="633">
        <f>SUM(D151:BQ151)</f>
        <v>143626.4155449071</v>
      </c>
      <c r="D151" s="84"/>
      <c r="E151" s="84"/>
      <c r="F151" s="84"/>
      <c r="G151" s="84"/>
      <c r="H151" s="84"/>
      <c r="I151" s="84"/>
      <c r="J151" s="84"/>
      <c r="K151" s="16">
        <f>+J102*J22*(1+$B$150)*$B$151</f>
        <v>53583.253163550085</v>
      </c>
      <c r="L151" s="16">
        <f>+K102*K22*(1+$B$150)*$B$151</f>
        <v>40624.259871278467</v>
      </c>
      <c r="M151" s="16">
        <f>+L102*L22*(1+$B$150)*$B$151</f>
        <v>35586.269220575123</v>
      </c>
      <c r="N151" s="16">
        <f>+M102*M22*(1+$B$150)*$B$151</f>
        <v>13832.633289503425</v>
      </c>
      <c r="O151" s="16">
        <f>+N102*N22*(1+$B$150)*$B$151</f>
        <v>0</v>
      </c>
      <c r="P151" s="16">
        <f>+O102*O22*(1+$B$150)*$B$151</f>
        <v>0</v>
      </c>
      <c r="Q151" s="16">
        <f>+P102*P22*(1+$B$150)*$B$151</f>
        <v>0</v>
      </c>
      <c r="R151" s="16">
        <f>+Q102*Q22*(1+$B$150)*$B$151</f>
        <v>0</v>
      </c>
      <c r="S151" s="16">
        <f>+R102*R22*(1+$B$150)*$B$151</f>
        <v>0</v>
      </c>
      <c r="T151" s="16">
        <f>+S102*S22*(1+$B$150)*$B$151</f>
        <v>0</v>
      </c>
      <c r="U151" s="16">
        <f>+T102*T22*(1+$B$150)*$B$151</f>
        <v>0</v>
      </c>
      <c r="V151" s="16">
        <f>+U102*U22*(1+$B$150)*$B$151</f>
        <v>0</v>
      </c>
      <c r="W151" s="16">
        <f>+V102*V22*(1+$B$150)*$B$151</f>
        <v>0</v>
      </c>
      <c r="X151" s="16">
        <f>+W102*W22*(1+$B$150)*$B$151</f>
        <v>0</v>
      </c>
      <c r="Y151" s="16">
        <f>+X102*X22*(1+$B$150)*$B$151</f>
        <v>0</v>
      </c>
      <c r="Z151" s="16">
        <f>+Y102*Y22*(1+$B$150)*$B$151</f>
        <v>0</v>
      </c>
      <c r="AA151" s="16">
        <f>+Z102*Z22*(1+$B$150)*$B$151</f>
        <v>0</v>
      </c>
      <c r="AB151" s="16">
        <f>+AA102*AA22*(1+$B$150)*$B$151</f>
        <v>0</v>
      </c>
      <c r="AC151" s="16">
        <f>+AB102*AB22*(1+$B$150)*$B$151</f>
        <v>0</v>
      </c>
      <c r="AD151" s="16">
        <f>+AC102*AC22*(1+$B$150)*$B$151</f>
        <v>0</v>
      </c>
      <c r="AE151" s="16">
        <f>+AD102*AD22*(1+$B$150)*$B$151</f>
        <v>0</v>
      </c>
      <c r="AF151" s="16">
        <f>+AE102*AE22*(1+$B$150)*$B$151</f>
        <v>0</v>
      </c>
      <c r="AG151" s="16">
        <f>+AF102*AF22*(1+$B$150)*$B$151</f>
        <v>0</v>
      </c>
      <c r="AH151" s="16">
        <f>+AG102*AG22*(1+$B$150)*$B$151</f>
        <v>0</v>
      </c>
      <c r="AI151" s="16">
        <f>+AH102*AH22*(1+$B$150)*$B$151</f>
        <v>0</v>
      </c>
      <c r="AJ151" s="16">
        <f>+AI102*AI22*(1+$B$150)*$B$151</f>
        <v>0</v>
      </c>
      <c r="AK151" s="16">
        <f>+AJ102*AJ22*(1+$B$150)*$B$151</f>
        <v>0</v>
      </c>
      <c r="AL151" s="16">
        <f>+AK102*AK22*(1+$B$150)*$B$151</f>
        <v>0</v>
      </c>
      <c r="AM151" s="16">
        <f>+AL102*AL22*(1+$B$150)*$B$151</f>
        <v>0</v>
      </c>
      <c r="AN151" s="16">
        <f>+AM102*AM22*(1+$B$150)*$B$151</f>
        <v>0</v>
      </c>
      <c r="AO151" s="16">
        <f>+AN102*AN22*(1+$B$150)*$B$151</f>
        <v>0</v>
      </c>
      <c r="AP151" s="16">
        <f>+AO102*AO22*(1+$B$150)*$B$151</f>
        <v>0</v>
      </c>
      <c r="AQ151" s="16">
        <f>+AP102*AP22*(1+$B$150)*$B$151</f>
        <v>0</v>
      </c>
      <c r="AR151" s="16">
        <f>+AQ102*AQ22*(1+$B$150)*$B$151</f>
        <v>0</v>
      </c>
      <c r="AS151" s="16">
        <f>+AR102*AR22*(1+$B$150)*$B$151</f>
        <v>0</v>
      </c>
      <c r="AT151" s="16"/>
      <c r="AU151" s="16"/>
      <c r="AV151" s="16"/>
      <c r="AW151" s="16"/>
      <c r="AX151" s="16"/>
      <c r="AY151" s="16"/>
      <c r="AZ151" s="16"/>
      <c r="BA151" s="16"/>
      <c r="BB151" s="16"/>
      <c r="BC151" s="16"/>
      <c r="BD151" s="16"/>
      <c r="BE151" s="16"/>
      <c r="BF151" s="16"/>
      <c r="BG151" s="16"/>
      <c r="BH151" s="16"/>
      <c r="BI151" s="16"/>
      <c r="BJ151" s="16"/>
      <c r="BK151" s="16"/>
      <c r="BL151" s="16"/>
      <c r="BM151" s="16"/>
      <c r="BN151" s="16"/>
      <c r="BO151" s="16"/>
      <c r="BP151" s="16"/>
      <c r="BQ151" s="16"/>
    </row>
    <row r="152" spans="1:69" s="112" customFormat="1" ht="14" hidden="1" outlineLevel="1">
      <c r="A152" s="121" t="s">
        <v>1</v>
      </c>
      <c r="B152" s="670">
        <f t="shared" si="116"/>
        <v>0</v>
      </c>
      <c r="C152" s="633">
        <f>SUM(D152:BQ152)</f>
        <v>0</v>
      </c>
      <c r="D152" s="84"/>
      <c r="E152" s="84"/>
      <c r="F152" s="84"/>
      <c r="G152" s="84"/>
      <c r="H152" s="84"/>
      <c r="I152" s="84"/>
      <c r="J152" s="84"/>
      <c r="K152" s="84"/>
      <c r="L152" s="16">
        <f>+J102*J22*(1+$B$150)*$B$152/K124+K152</f>
        <v>0</v>
      </c>
      <c r="M152" s="16">
        <f>+K102*K22*(1+$B$150)*$B$152/L124+L152</f>
        <v>0</v>
      </c>
      <c r="N152" s="16">
        <f>+L102*L22*(1+$B$150)*$B$152/M124+M152</f>
        <v>0</v>
      </c>
      <c r="O152" s="16">
        <f>+M102*M22*(1+$B$150)*$B$152/N124+N152</f>
        <v>0</v>
      </c>
      <c r="P152" s="16">
        <f>+N102*N22*(1+$B$150)*$B$152/O124+O152</f>
        <v>0</v>
      </c>
      <c r="Q152" s="16">
        <f>+O102*O22*(1+$B$150)*$B$152/P124+P152</f>
        <v>0</v>
      </c>
      <c r="R152" s="16">
        <f>+P102*P22*(1+$B$150)*$B$152/Q124+Q152</f>
        <v>0</v>
      </c>
      <c r="S152" s="16">
        <f>+Q102*Q22*(1+$B$150)*$B$152/R124+R152</f>
        <v>0</v>
      </c>
      <c r="T152" s="16">
        <f>+R102*R22*(1+$B$150)*$B$152/S124+S152</f>
        <v>0</v>
      </c>
      <c r="U152" s="16">
        <f>+S102*S22*(1+$B$150)*$B$152/T124+T152</f>
        <v>0</v>
      </c>
      <c r="V152" s="16">
        <f>+T102*T22*(1+$B$150)*$B$152/U124+U152</f>
        <v>0</v>
      </c>
      <c r="W152" s="16">
        <f>+U102*U22*(1+$B$150)*$B$152/V124+V152</f>
        <v>0</v>
      </c>
      <c r="X152" s="16">
        <f>+V102*V22*(1+$B$150)*$B$152/W124+W152</f>
        <v>0</v>
      </c>
      <c r="Y152" s="16">
        <f>+W102*W22*(1+$B$150)*$B$152/X124+X152</f>
        <v>0</v>
      </c>
      <c r="Z152" s="16">
        <f>+X102*X22*(1+$B$150)*$B$152/Y124+Y152</f>
        <v>0</v>
      </c>
      <c r="AA152" s="16">
        <f>+Y102*Y22*(1+$B$150)*$B$152/Z124+Z152</f>
        <v>0</v>
      </c>
      <c r="AB152" s="16">
        <f>+Z102*Z22*(1+$B$150)*$B$152/AA124+AA152</f>
        <v>0</v>
      </c>
      <c r="AC152" s="16">
        <f>+AA102*AA22*(1+$B$150)*$B$152/AB124+AB152</f>
        <v>0</v>
      </c>
      <c r="AD152" s="16">
        <f>+AB102*AB22*(1+$B$150)*$B$152/AC124+AC152</f>
        <v>0</v>
      </c>
      <c r="AE152" s="16">
        <f>+AC102*AC22*(1+$B$150)*$B$152/AD124+AD152</f>
        <v>0</v>
      </c>
      <c r="AF152" s="16">
        <f>+AD102*AD22*(1+$B$150)*$B$152/AE124+AE152</f>
        <v>0</v>
      </c>
      <c r="AG152" s="16">
        <f>+AE102*AE22*(1+$B$150)*$B$152/AF124+AF152</f>
        <v>0</v>
      </c>
      <c r="AH152" s="16">
        <f>+AF102*AF22*(1+$B$150)*$B$152/AG124+AG152</f>
        <v>0</v>
      </c>
      <c r="AI152" s="16">
        <f>+AG102*AG22*(1+$B$150)*$B$152/AH124+AH152</f>
        <v>0</v>
      </c>
      <c r="AJ152" s="16">
        <f>+AH102*AH22*(1+$B$150)*$B$152/AI124+AI152</f>
        <v>0</v>
      </c>
      <c r="AK152" s="16">
        <f>+AI102*AI22*(1+$B$150)*$B$152/AJ124+AJ152</f>
        <v>0</v>
      </c>
      <c r="AL152" s="16">
        <f>+AJ102*AJ22*(1+$B$150)*$B$152/AK124+AK152</f>
        <v>0</v>
      </c>
      <c r="AM152" s="16">
        <f>+AK102*AK22*(1+$B$150)*$B$152/AL124+AL152</f>
        <v>0</v>
      </c>
      <c r="AN152" s="16">
        <f>+AL102*AL22*(1+$B$150)*$B$152/AM124+AM152</f>
        <v>0</v>
      </c>
      <c r="AO152" s="16">
        <f>+AM102*AM22*(1+$B$150)*$B$152/AN124+AN152</f>
        <v>0</v>
      </c>
      <c r="AP152" s="16">
        <f>+AN102*AN22*(1+$B$150)*$B$152/AO124+AO152</f>
        <v>0</v>
      </c>
      <c r="AQ152" s="16">
        <f>+AO102*AO22*(1+$B$150)*$B$152/AP124+AP152</f>
        <v>0</v>
      </c>
      <c r="AR152" s="16">
        <f>+AP102*AP22*(1+$B$150)*$B$152/AQ124+AQ152</f>
        <v>0</v>
      </c>
      <c r="AS152" s="16">
        <f>+AQ102*AQ22*(1+$B$150)*$B$152/AR124+AR152</f>
        <v>0</v>
      </c>
      <c r="AT152" s="16">
        <f>+AR102*AR22*(1+$B$150)*$B$152/AS124+AS152</f>
        <v>0</v>
      </c>
      <c r="AU152" s="16"/>
      <c r="AV152" s="16"/>
      <c r="AW152" s="16"/>
      <c r="AX152" s="16"/>
      <c r="AY152" s="16"/>
      <c r="AZ152" s="16"/>
      <c r="BA152" s="16"/>
      <c r="BB152" s="16"/>
      <c r="BC152" s="16"/>
      <c r="BD152" s="16"/>
      <c r="BE152" s="16"/>
      <c r="BF152" s="16"/>
      <c r="BG152" s="16"/>
      <c r="BH152" s="16"/>
      <c r="BI152" s="16"/>
      <c r="BJ152" s="16"/>
      <c r="BK152" s="16"/>
      <c r="BL152" s="16"/>
      <c r="BM152" s="16"/>
      <c r="BN152" s="16"/>
      <c r="BO152" s="16"/>
      <c r="BP152" s="16"/>
      <c r="BQ152" s="16"/>
    </row>
    <row r="153" spans="1:69" s="112" customFormat="1" ht="14" hidden="1" outlineLevel="1">
      <c r="A153" s="121" t="s">
        <v>31</v>
      </c>
      <c r="B153" s="670">
        <f t="shared" si="116"/>
        <v>0.3</v>
      </c>
      <c r="C153" s="633">
        <f>SUM(D153:BQ153)</f>
        <v>61554.178090674468</v>
      </c>
      <c r="D153" s="84"/>
      <c r="E153" s="84"/>
      <c r="F153" s="84"/>
      <c r="G153" s="84"/>
      <c r="H153" s="84"/>
      <c r="I153" s="84"/>
      <c r="J153" s="84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>
        <f>SUMPRODUCT($D$102:$AR$102,$D$22:$AR$22)*(1+$B$150)*$B$153/3</f>
        <v>20518.059363558157</v>
      </c>
      <c r="AU153" s="16">
        <f>SUMPRODUCT($D$102:$AR$102,$D$22:$AR$22)*(1+$B$150)*$B$153/3</f>
        <v>20518.059363558157</v>
      </c>
      <c r="AV153" s="16">
        <f>SUMPRODUCT($D$102:$AR$102,$D$22:$AR$22)*(1+$B$150)*$B$153/3</f>
        <v>20518.059363558157</v>
      </c>
      <c r="AW153" s="16"/>
      <c r="AX153" s="16"/>
      <c r="AY153" s="16"/>
      <c r="AZ153" s="16"/>
      <c r="BA153" s="16"/>
      <c r="BB153" s="16"/>
      <c r="BC153" s="16"/>
      <c r="BD153" s="16"/>
      <c r="BE153" s="16"/>
      <c r="BF153" s="16"/>
      <c r="BG153" s="16"/>
      <c r="BH153" s="16"/>
      <c r="BI153" s="16"/>
      <c r="BJ153" s="16"/>
      <c r="BK153" s="16"/>
      <c r="BL153" s="16"/>
      <c r="BM153" s="16"/>
      <c r="BN153" s="16"/>
      <c r="BO153" s="16"/>
      <c r="BP153" s="16"/>
      <c r="BQ153" s="16"/>
    </row>
    <row r="154" spans="1:69" s="112" customFormat="1" ht="14" hidden="1" outlineLevel="1">
      <c r="A154" s="121"/>
      <c r="B154" s="670"/>
      <c r="C154" s="633"/>
      <c r="D154" s="84"/>
      <c r="E154" s="84"/>
      <c r="F154" s="84"/>
      <c r="G154" s="84"/>
      <c r="H154" s="84"/>
      <c r="I154" s="84"/>
      <c r="J154" s="84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  <c r="AU154" s="16"/>
      <c r="AV154" s="16"/>
      <c r="AW154" s="16"/>
      <c r="AX154" s="16"/>
      <c r="AY154" s="16"/>
      <c r="AZ154" s="16"/>
      <c r="BA154" s="16"/>
      <c r="BB154" s="16"/>
      <c r="BC154" s="16"/>
      <c r="BD154" s="16"/>
      <c r="BE154" s="16"/>
      <c r="BF154" s="16"/>
      <c r="BG154" s="16"/>
      <c r="BH154" s="16"/>
      <c r="BI154" s="16"/>
      <c r="BJ154" s="16"/>
      <c r="BK154" s="16"/>
      <c r="BL154" s="16"/>
      <c r="BM154" s="16"/>
      <c r="BN154" s="16"/>
      <c r="BO154" s="16"/>
      <c r="BP154" s="16"/>
      <c r="BQ154" s="16"/>
    </row>
    <row r="155" spans="1:69" s="112" customFormat="1" ht="14" hidden="1" outlineLevel="1">
      <c r="A155" s="232" t="s">
        <v>270</v>
      </c>
      <c r="B155" s="615">
        <f t="shared" si="116"/>
        <v>0</v>
      </c>
      <c r="C155" s="633"/>
      <c r="D155" s="84"/>
      <c r="E155" s="84"/>
      <c r="F155" s="84"/>
      <c r="G155" s="84"/>
      <c r="H155" s="84"/>
      <c r="I155" s="84"/>
      <c r="J155" s="84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6"/>
      <c r="BE155" s="16"/>
      <c r="BF155" s="16"/>
      <c r="BG155" s="16"/>
      <c r="BH155" s="16"/>
      <c r="BI155" s="16"/>
      <c r="BJ155" s="16"/>
      <c r="BK155" s="16"/>
      <c r="BL155" s="16"/>
      <c r="BM155" s="16"/>
      <c r="BN155" s="16"/>
      <c r="BO155" s="16"/>
      <c r="BP155" s="16"/>
      <c r="BQ155" s="16"/>
    </row>
    <row r="156" spans="1:69" s="112" customFormat="1" ht="14" hidden="1" outlineLevel="1">
      <c r="A156" s="121" t="s">
        <v>119</v>
      </c>
      <c r="B156" s="670">
        <f t="shared" si="116"/>
        <v>0.3</v>
      </c>
      <c r="C156" s="633">
        <f>SUM(D156:BQ156)</f>
        <v>1584945.2024065342</v>
      </c>
      <c r="D156" s="84"/>
      <c r="E156" s="84"/>
      <c r="F156" s="84"/>
      <c r="G156" s="84"/>
      <c r="H156" s="84"/>
      <c r="I156" s="84"/>
      <c r="J156" s="84"/>
      <c r="K156" s="16">
        <f>+J102*J23*(1+$B$155)*$B$156</f>
        <v>91857.005423228722</v>
      </c>
      <c r="L156" s="16">
        <f>+K102*K23*(1+$B$155)*$B$156</f>
        <v>69641.588350763093</v>
      </c>
      <c r="M156" s="16">
        <f>+L102*L23*(1+$B$155)*$B$156</f>
        <v>61005.032949557353</v>
      </c>
      <c r="N156" s="16">
        <f>+M102*M23*(1+$B$155)*$B$156</f>
        <v>59282.714097871802</v>
      </c>
      <c r="O156" s="16">
        <f>+N102*N23*(1+$B$155)*$B$156</f>
        <v>66240.632647253602</v>
      </c>
      <c r="P156" s="16">
        <f>+O102*O23*(1+$B$155)*$B$156</f>
        <v>67270.27978684823</v>
      </c>
      <c r="Q156" s="16">
        <f>+P102*P23*(1+$B$155)*$B$156</f>
        <v>51894.215835568633</v>
      </c>
      <c r="R156" s="16">
        <f>+Q102*Q23*(1+$B$155)*$B$156</f>
        <v>52418.399833907708</v>
      </c>
      <c r="S156" s="16">
        <f>+R102*R23*(1+$B$155)*$B$156</f>
        <v>52418.399833907708</v>
      </c>
      <c r="T156" s="16">
        <f>+S102*S23*(1+$B$155)*$B$156</f>
        <v>40967.475584476684</v>
      </c>
      <c r="U156" s="16">
        <f>+T102*T23*(1+$B$155)*$B$156</f>
        <v>41373.094154620012</v>
      </c>
      <c r="V156" s="16">
        <f>+U102*U23*(1+$B$155)*$B$156</f>
        <v>41778.71272476334</v>
      </c>
      <c r="W156" s="16">
        <f>+V102*V23*(1+$B$155)*$B$156</f>
        <v>36343.423884842668</v>
      </c>
      <c r="X156" s="16">
        <f>+W102*W23*(1+$B$155)*$B$156</f>
        <v>36692.879883735382</v>
      </c>
      <c r="Y156" s="16">
        <f>+X102*X23*(1+$B$155)*$B$156</f>
        <v>36692.879883735382</v>
      </c>
      <c r="Z156" s="16">
        <f>+Y102*Y23*(1+$B$155)*$B$156</f>
        <v>39313.79987543077</v>
      </c>
      <c r="AA156" s="16">
        <f>+Z102*Z23*(1+$B$155)*$B$156</f>
        <v>39313.79987543077</v>
      </c>
      <c r="AB156" s="16">
        <f>+AA102*AA23*(1+$B$155)*$B$156</f>
        <v>39313.79987543077</v>
      </c>
      <c r="AC156" s="16">
        <f>+AB102*AB23*(1+$B$155)*$B$156</f>
        <v>41934.719867126158</v>
      </c>
      <c r="AD156" s="16">
        <f>+AC102*AC23*(1+$B$155)*$B$156</f>
        <v>41934.719867126158</v>
      </c>
      <c r="AE156" s="16">
        <f>+AD102*AD23*(1+$B$155)*$B$156</f>
        <v>41934.719867126158</v>
      </c>
      <c r="AF156" s="16">
        <f>+AE102*AE23*(1+$B$155)*$B$156</f>
        <v>44555.639858821538</v>
      </c>
      <c r="AG156" s="16">
        <f>+AF102*AF23*(1+$B$155)*$B$156</f>
        <v>44555.639858821538</v>
      </c>
      <c r="AH156" s="16">
        <f>+AG102*AG23*(1+$B$155)*$B$156</f>
        <v>44555.639858821538</v>
      </c>
      <c r="AI156" s="16">
        <f>+AH102*AH23*(1+$B$155)*$B$156</f>
        <v>35382.4198878877</v>
      </c>
      <c r="AJ156" s="16">
        <f>+AI102*AI23*(1+$B$155)*$B$156</f>
        <v>35382.4198878877</v>
      </c>
      <c r="AK156" s="16">
        <f>+AJ102*AJ23*(1+$B$155)*$B$156</f>
        <v>35382.4198878877</v>
      </c>
      <c r="AL156" s="16">
        <f>+AK102*AK23*(1+$B$155)*$B$156</f>
        <v>37348.109881659235</v>
      </c>
      <c r="AM156" s="16">
        <f>+AL102*AL23*(1+$B$155)*$B$156</f>
        <v>37348.109881659235</v>
      </c>
      <c r="AN156" s="16">
        <f>+AM102*AM23*(1+$B$155)*$B$156</f>
        <v>37348.109881659235</v>
      </c>
      <c r="AO156" s="16">
        <f>+AN102*AN23*(1+$B$155)*$B$156</f>
        <v>39313.799875430777</v>
      </c>
      <c r="AP156" s="16">
        <f>+AO102*AO23*(1+$B$155)*$B$156</f>
        <v>39313.799875430777</v>
      </c>
      <c r="AQ156" s="16">
        <f>+AP102*AP23*(1+$B$155)*$B$156</f>
        <v>39313.799875430777</v>
      </c>
      <c r="AR156" s="16">
        <f>+AQ102*AQ23*(1+$B$155)*$B$156</f>
        <v>39313.799875430777</v>
      </c>
      <c r="AS156" s="16">
        <f>+AR102*AR23*(1+$B$155)*$B$156</f>
        <v>26209.19991695385</v>
      </c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  <c r="BF156" s="16"/>
      <c r="BG156" s="16"/>
      <c r="BH156" s="16"/>
      <c r="BI156" s="16"/>
      <c r="BJ156" s="16"/>
      <c r="BK156" s="16"/>
      <c r="BL156" s="16"/>
      <c r="BM156" s="16"/>
      <c r="BN156" s="16"/>
      <c r="BO156" s="16"/>
      <c r="BP156" s="16"/>
      <c r="BQ156" s="16"/>
    </row>
    <row r="157" spans="1:69" s="112" customFormat="1" ht="14" hidden="1" outlineLevel="1">
      <c r="A157" s="121" t="s">
        <v>1</v>
      </c>
      <c r="B157" s="670">
        <f t="shared" si="116"/>
        <v>0.6</v>
      </c>
      <c r="C157" s="633">
        <f>SUM(D157:BQ157)</f>
        <v>3169890.4048130675</v>
      </c>
      <c r="D157" s="84"/>
      <c r="E157" s="84"/>
      <c r="F157" s="84"/>
      <c r="G157" s="84"/>
      <c r="H157" s="84"/>
      <c r="I157" s="84"/>
      <c r="J157" s="84"/>
      <c r="K157" s="16"/>
      <c r="L157" s="16">
        <f>+J102*J23*(1+$B$155)*$B$157/K124+K157</f>
        <v>5248.9717384702126</v>
      </c>
      <c r="M157" s="16">
        <f>+K102*K23*(1+$B$155)*$B$157/L124+L157</f>
        <v>9345.5357591033353</v>
      </c>
      <c r="N157" s="16">
        <f>+L102*L23*(1+$B$155)*$B$157/M124+M157</f>
        <v>13042.810483318932</v>
      </c>
      <c r="O157" s="16">
        <f>+M102*M23*(1+$B$155)*$B$157/N124+N157</f>
        <v>16747.980114435919</v>
      </c>
      <c r="P157" s="16">
        <f>+N102*N23*(1+$B$155)*$B$157/O124+O157</f>
        <v>21021.569317484536</v>
      </c>
      <c r="Q157" s="16">
        <f>+O102*O23*(1+$B$155)*$B$157/P124+P157</f>
        <v>25506.254636607751</v>
      </c>
      <c r="R157" s="16">
        <f>+P102*P23*(1+$B$155)*$B$157/Q124+Q157</f>
        <v>29085.166073543518</v>
      </c>
      <c r="S157" s="16">
        <f>+Q102*Q23*(1+$B$155)*$B$157/R124+R157</f>
        <v>32829.337490251215</v>
      </c>
      <c r="T157" s="16">
        <f>+R102*R23*(1+$B$155)*$B$157/S124+S157</f>
        <v>36712.181922392527</v>
      </c>
      <c r="U157" s="16">
        <f>+S102*S23*(1+$B$155)*$B$157/T124+T157</f>
        <v>39863.526198121501</v>
      </c>
      <c r="V157" s="16">
        <f>+T102*T23*(1+$B$155)*$B$157/U124+U157</f>
        <v>43173.373730491105</v>
      </c>
      <c r="W157" s="16">
        <f>+U102*U23*(1+$B$155)*$B$157/V124+V157</f>
        <v>46654.933124221381</v>
      </c>
      <c r="X157" s="16">
        <f>+V102*V23*(1+$B$155)*$B$157/W124+W157</f>
        <v>49815.230853338137</v>
      </c>
      <c r="Y157" s="16">
        <f>+W102*W23*(1+$B$155)*$B$157/X124+X157</f>
        <v>53150.947206404991</v>
      </c>
      <c r="Z157" s="16">
        <f>+X102*X23*(1+$B$155)*$B$157/Y124+Y157</f>
        <v>56645.507195332168</v>
      </c>
      <c r="AA157" s="16">
        <f>+Y102*Y23*(1+$B$155)*$B$157/Z124+Z157</f>
        <v>60576.887182875245</v>
      </c>
      <c r="AB157" s="16">
        <f>+Z102*Z23*(1+$B$155)*$B$157/AA124+AA157</f>
        <v>64715.181906604797</v>
      </c>
      <c r="AC157" s="16">
        <f>+AA102*AA23*(1+$B$155)*$B$157/AB124+AB157</f>
        <v>69083.381892763777</v>
      </c>
      <c r="AD157" s="16">
        <f>+AB102*AB23*(1+$B$155)*$B$157/AC124+AC157</f>
        <v>74016.878347719801</v>
      </c>
      <c r="AE157" s="16">
        <f>+AC102*AC23*(1+$B$155)*$B$157/AD124+AD157</f>
        <v>79258.718331110576</v>
      </c>
      <c r="AF157" s="16">
        <f>+AD102*AD23*(1+$B$155)*$B$157/AE124+AE157</f>
        <v>84850.014313394058</v>
      </c>
      <c r="AG157" s="16">
        <f>+AE102*AE23*(1+$B$155)*$B$157/AF124+AF157</f>
        <v>91215.105721797139</v>
      </c>
      <c r="AH157" s="16">
        <f>+AF102*AF23*(1+$B$155)*$B$157/AG124+AG157</f>
        <v>98069.819546231229</v>
      </c>
      <c r="AI157" s="16">
        <f>+AG102*AG23*(1+$B$155)*$B$157/AH124+AH157</f>
        <v>105495.75952270148</v>
      </c>
      <c r="AJ157" s="16">
        <f>+AH102*AH23*(1+$B$155)*$B$157/AI124+AI157</f>
        <v>111928.9267750447</v>
      </c>
      <c r="AK157" s="16">
        <f>+AI102*AI23*(1+$B$155)*$B$157/AJ124+AJ157</f>
        <v>119005.41075262224</v>
      </c>
      <c r="AL157" s="16">
        <f>+AJ102*AJ23*(1+$B$155)*$B$157/AK124+AK157</f>
        <v>126868.17072770839</v>
      </c>
      <c r="AM157" s="16">
        <f>+AK102*AK23*(1+$B$155)*$B$157/AL124+AL157</f>
        <v>136205.19819812319</v>
      </c>
      <c r="AN157" s="16">
        <f>+AL102*AL23*(1+$B$155)*$B$157/AM124+AM157</f>
        <v>146876.08673574013</v>
      </c>
      <c r="AO157" s="16">
        <f>+AM102*AM23*(1+$B$155)*$B$157/AN124+AN157</f>
        <v>159325.4566962932</v>
      </c>
      <c r="AP157" s="16">
        <f>+AN102*AN23*(1+$B$155)*$B$157/AO124+AO157</f>
        <v>175050.97664646551</v>
      </c>
      <c r="AQ157" s="16">
        <f>+AO102*AO23*(1+$B$155)*$B$157/AP124+AP157</f>
        <v>194707.87658418089</v>
      </c>
      <c r="AR157" s="16">
        <f>+AP102*AP23*(1+$B$155)*$B$157/AQ124+AQ157</f>
        <v>220917.07650113475</v>
      </c>
      <c r="AS157" s="16">
        <f>+AQ102*AQ23*(1+$B$155)*$B$157/AR124+AR157</f>
        <v>260230.87637656555</v>
      </c>
      <c r="AT157" s="16">
        <f>+AR102*AR23*(1+$B$155)*$B$157/AS124+AS157</f>
        <v>312649.27621047327</v>
      </c>
      <c r="AU157" s="16"/>
      <c r="AV157" s="16"/>
      <c r="AW157" s="16"/>
      <c r="AX157" s="16"/>
      <c r="AY157" s="16"/>
      <c r="AZ157" s="16"/>
      <c r="BA157" s="16"/>
      <c r="BB157" s="16"/>
      <c r="BC157" s="16"/>
      <c r="BD157" s="16"/>
      <c r="BE157" s="16"/>
      <c r="BF157" s="16"/>
      <c r="BG157" s="16"/>
      <c r="BH157" s="16"/>
      <c r="BI157" s="16"/>
      <c r="BJ157" s="16"/>
      <c r="BK157" s="16"/>
      <c r="BL157" s="16"/>
      <c r="BM157" s="16"/>
      <c r="BN157" s="16"/>
      <c r="BO157" s="16"/>
      <c r="BP157" s="16"/>
      <c r="BQ157" s="16"/>
    </row>
    <row r="158" spans="1:69" s="112" customFormat="1" ht="14" hidden="1" outlineLevel="1">
      <c r="A158" s="121" t="s">
        <v>31</v>
      </c>
      <c r="B158" s="670">
        <f t="shared" si="116"/>
        <v>0.1</v>
      </c>
      <c r="C158" s="633">
        <f>SUM(D158:BQ158)</f>
        <v>528315.06746884447</v>
      </c>
      <c r="D158" s="84"/>
      <c r="E158" s="84"/>
      <c r="F158" s="84"/>
      <c r="G158" s="84"/>
      <c r="H158" s="84"/>
      <c r="I158" s="84"/>
      <c r="J158" s="84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>
        <f>SUMPRODUCT($D$102:$AR$102,$D$23:$AR$23)*(1+$B$155)*$B$158/3</f>
        <v>176105.02248961481</v>
      </c>
      <c r="AU158" s="16">
        <f>SUMPRODUCT($D$102:$AR$102,$D$23:$AR$23)*(1+$B$155)*$B$158/3</f>
        <v>176105.02248961481</v>
      </c>
      <c r="AV158" s="16">
        <f>SUMPRODUCT($D$102:$AR$102,$D$23:$AR$23)*(1+$B$155)*$B$158/3</f>
        <v>176105.02248961481</v>
      </c>
      <c r="AW158" s="16"/>
      <c r="AX158" s="16"/>
      <c r="AY158" s="16"/>
      <c r="AZ158" s="16"/>
      <c r="BA158" s="16"/>
      <c r="BB158" s="16"/>
      <c r="BC158" s="16"/>
      <c r="BD158" s="16"/>
      <c r="BE158" s="16"/>
      <c r="BF158" s="16"/>
      <c r="BG158" s="16"/>
      <c r="BH158" s="16"/>
      <c r="BI158" s="16"/>
      <c r="BJ158" s="16"/>
      <c r="BK158" s="16"/>
      <c r="BL158" s="16"/>
      <c r="BM158" s="16"/>
      <c r="BN158" s="16"/>
      <c r="BO158" s="16"/>
      <c r="BP158" s="16"/>
      <c r="BQ158" s="16"/>
    </row>
    <row r="159" spans="1:69" s="112" customFormat="1" ht="14" hidden="1" outlineLevel="1">
      <c r="A159" s="121"/>
      <c r="B159" s="670"/>
      <c r="C159" s="633"/>
      <c r="D159" s="84"/>
      <c r="E159" s="84"/>
      <c r="F159" s="84"/>
      <c r="G159" s="84"/>
      <c r="H159" s="84"/>
      <c r="I159" s="84"/>
      <c r="J159" s="84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  <c r="BD159" s="16"/>
      <c r="BE159" s="16"/>
      <c r="BF159" s="16"/>
      <c r="BG159" s="16"/>
      <c r="BH159" s="16"/>
      <c r="BI159" s="16"/>
      <c r="BJ159" s="16"/>
      <c r="BK159" s="16"/>
      <c r="BL159" s="16"/>
      <c r="BM159" s="16"/>
      <c r="BN159" s="16"/>
      <c r="BO159" s="16"/>
      <c r="BP159" s="16"/>
      <c r="BQ159" s="16"/>
    </row>
    <row r="160" spans="1:69" s="112" customFormat="1" ht="14" hidden="1" outlineLevel="1">
      <c r="A160" s="232" t="s">
        <v>271</v>
      </c>
      <c r="B160" s="615">
        <f t="shared" si="116"/>
        <v>0</v>
      </c>
      <c r="C160" s="633"/>
      <c r="D160" s="84"/>
      <c r="E160" s="84"/>
      <c r="F160" s="84"/>
      <c r="G160" s="84"/>
      <c r="H160" s="84"/>
      <c r="I160" s="84"/>
      <c r="J160" s="84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  <c r="AU160" s="16"/>
      <c r="AV160" s="16"/>
      <c r="AW160" s="16"/>
      <c r="AX160" s="16"/>
      <c r="AY160" s="16"/>
      <c r="AZ160" s="16"/>
      <c r="BA160" s="16"/>
      <c r="BB160" s="16"/>
      <c r="BC160" s="16"/>
      <c r="BD160" s="16"/>
      <c r="BE160" s="16"/>
      <c r="BF160" s="16"/>
      <c r="BG160" s="16"/>
      <c r="BH160" s="16"/>
      <c r="BI160" s="16"/>
      <c r="BJ160" s="16"/>
      <c r="BK160" s="16"/>
      <c r="BL160" s="16"/>
      <c r="BM160" s="16"/>
      <c r="BN160" s="16"/>
      <c r="BO160" s="16"/>
      <c r="BP160" s="16"/>
      <c r="BQ160" s="16"/>
    </row>
    <row r="161" spans="1:69" s="112" customFormat="1" ht="14" hidden="1" outlineLevel="1">
      <c r="A161" s="121" t="s">
        <v>119</v>
      </c>
      <c r="B161" s="670">
        <f t="shared" si="116"/>
        <v>0.1</v>
      </c>
      <c r="C161" s="633">
        <f>SUM(D161:BQ161)</f>
        <v>257037.36775698318</v>
      </c>
      <c r="D161" s="84"/>
      <c r="E161" s="84"/>
      <c r="F161" s="84"/>
      <c r="G161" s="84"/>
      <c r="H161" s="84"/>
      <c r="I161" s="84"/>
      <c r="J161" s="84"/>
      <c r="K161" s="16">
        <f>+J102*J24*(1+$B$160)*$B$161</f>
        <v>38273.752259678637</v>
      </c>
      <c r="L161" s="16">
        <f>+K102*K24*(1+$B$160)*$B$161</f>
        <v>29017.328479484622</v>
      </c>
      <c r="M161" s="16">
        <f>+L102*L24*(1+$B$160)*$B$161</f>
        <v>25418.763728982231</v>
      </c>
      <c r="N161" s="16">
        <f>+M102*M24*(1+$B$160)*$B$161</f>
        <v>17784.814229361546</v>
      </c>
      <c r="O161" s="16">
        <f>+N102*N24*(1+$B$160)*$B$161</f>
        <v>18065.627085614622</v>
      </c>
      <c r="P161" s="16">
        <f>+O102*O24*(1+$B$160)*$B$161</f>
        <v>18346.439941867699</v>
      </c>
      <c r="Q161" s="16">
        <f>+P102*P24*(1+$B$160)*$B$161</f>
        <v>11532.047963459698</v>
      </c>
      <c r="R161" s="16">
        <f>+Q102*Q24*(1+$B$160)*$B$161</f>
        <v>11648.533296423937</v>
      </c>
      <c r="S161" s="16">
        <f>+R102*R24*(1+$B$160)*$B$161</f>
        <v>11648.533296423937</v>
      </c>
      <c r="T161" s="16">
        <f>+S102*S24*(1+$B$160)*$B$161</f>
        <v>7353.1366433676085</v>
      </c>
      <c r="U161" s="16">
        <f>+T102*T24*(1+$B$160)*$B$161</f>
        <v>7425.9399764702584</v>
      </c>
      <c r="V161" s="16">
        <f>+U102*U24*(1+$B$160)*$B$161</f>
        <v>7498.7433095729066</v>
      </c>
      <c r="W161" s="16">
        <f>+V102*V24*(1+$B$160)*$B$161</f>
        <v>5191.9176978346677</v>
      </c>
      <c r="X161" s="16">
        <f>+W102*W24*(1+$B$160)*$B$161</f>
        <v>5241.8399833907706</v>
      </c>
      <c r="Y161" s="16">
        <f>+X102*X24*(1+$B$160)*$B$161</f>
        <v>5241.8399833907706</v>
      </c>
      <c r="Z161" s="16">
        <f>+Y102*Y24*(1+$B$160)*$B$161</f>
        <v>4368.1999861589748</v>
      </c>
      <c r="AA161" s="16">
        <f>+Z102*Z24*(1+$B$160)*$B$161</f>
        <v>4368.1999861589748</v>
      </c>
      <c r="AB161" s="16">
        <f>+AA102*AA24*(1+$B$160)*$B$161</f>
        <v>4368.1999861589748</v>
      </c>
      <c r="AC161" s="16">
        <f>+AB102*AB24*(1+$B$160)*$B$161</f>
        <v>3494.5599889271798</v>
      </c>
      <c r="AD161" s="16">
        <f>+AC102*AC24*(1+$B$160)*$B$161</f>
        <v>3494.5599889271798</v>
      </c>
      <c r="AE161" s="16">
        <f>+AD102*AD24*(1+$B$160)*$B$161</f>
        <v>3494.5599889271798</v>
      </c>
      <c r="AF161" s="16">
        <f>+AE102*AE24*(1+$B$160)*$B$161</f>
        <v>2620.9199916953853</v>
      </c>
      <c r="AG161" s="16">
        <f>+AF102*AF24*(1+$B$160)*$B$161</f>
        <v>2620.9199916953853</v>
      </c>
      <c r="AH161" s="16">
        <f>+AG102*AG24*(1+$B$160)*$B$161</f>
        <v>2620.9199916953853</v>
      </c>
      <c r="AI161" s="16">
        <f>+AH102*AH24*(1+$B$160)*$B$161</f>
        <v>1310.4599958476929</v>
      </c>
      <c r="AJ161" s="16">
        <f>+AI102*AI24*(1+$B$160)*$B$161</f>
        <v>1310.4599958476929</v>
      </c>
      <c r="AK161" s="16">
        <f>+AJ102*AJ24*(1+$B$160)*$B$161</f>
        <v>1310.4599958476929</v>
      </c>
      <c r="AL161" s="16">
        <f>+AK102*AK24*(1+$B$160)*$B$161</f>
        <v>655.22999792384644</v>
      </c>
      <c r="AM161" s="16">
        <f>+AL102*AL24*(1+$B$160)*$B$161</f>
        <v>655.22999792384644</v>
      </c>
      <c r="AN161" s="16">
        <f>+AM102*AM24*(1+$B$160)*$B$161</f>
        <v>655.22999792384644</v>
      </c>
      <c r="AO161" s="16">
        <f>+AN102*AN24*(1+$B$160)*$B$161</f>
        <v>0</v>
      </c>
      <c r="AP161" s="16">
        <f>+AO102*AO24*(1+$B$160)*$B$161</f>
        <v>0</v>
      </c>
      <c r="AQ161" s="16">
        <f>+AP102*AP24*(1+$B$160)*$B$161</f>
        <v>0</v>
      </c>
      <c r="AR161" s="16">
        <f>+AQ102*AQ24*(1+$B$160)*$B$161</f>
        <v>0</v>
      </c>
      <c r="AS161" s="16">
        <f>+AR102*AR24*(1+$B$160)*$B$161</f>
        <v>0</v>
      </c>
      <c r="AT161" s="16"/>
      <c r="AU161" s="16"/>
      <c r="AV161" s="16"/>
      <c r="AW161" s="16"/>
      <c r="AX161" s="16"/>
      <c r="AY161" s="16"/>
      <c r="AZ161" s="16"/>
      <c r="BA161" s="16"/>
      <c r="BB161" s="16"/>
      <c r="BC161" s="16"/>
      <c r="BD161" s="16"/>
      <c r="BE161" s="16"/>
      <c r="BF161" s="16"/>
      <c r="BG161" s="16"/>
      <c r="BH161" s="16"/>
      <c r="BI161" s="16"/>
      <c r="BJ161" s="16"/>
      <c r="BK161" s="16"/>
      <c r="BL161" s="16"/>
      <c r="BM161" s="16"/>
      <c r="BN161" s="16"/>
      <c r="BO161" s="16"/>
      <c r="BP161" s="16"/>
      <c r="BQ161" s="16"/>
    </row>
    <row r="162" spans="1:69" s="112" customFormat="1" ht="14" hidden="1" outlineLevel="1">
      <c r="A162" s="121" t="s">
        <v>1</v>
      </c>
      <c r="B162" s="670">
        <f t="shared" si="116"/>
        <v>0.2</v>
      </c>
      <c r="C162" s="633">
        <f>SUM(D162:BQ162)</f>
        <v>514074.73551396624</v>
      </c>
      <c r="D162" s="84"/>
      <c r="E162" s="84"/>
      <c r="F162" s="84"/>
      <c r="G162" s="84"/>
      <c r="H162" s="84"/>
      <c r="I162" s="84"/>
      <c r="J162" s="84"/>
      <c r="K162" s="16"/>
      <c r="L162" s="16">
        <f>+J102*J24*(1+$B$160)*$B$162/K124+K162</f>
        <v>2187.0715576959219</v>
      </c>
      <c r="M162" s="16">
        <f>+K102*K24*(1+$B$160)*$B$162/L124+L162</f>
        <v>3893.9732329597232</v>
      </c>
      <c r="N162" s="16">
        <f>+L102*L24*(1+$B$160)*$B$162/M124+M162</f>
        <v>5434.5043680495555</v>
      </c>
      <c r="O162" s="16">
        <f>+M102*M24*(1+$B$160)*$B$162/N124+N162</f>
        <v>6546.0552573846526</v>
      </c>
      <c r="P162" s="16">
        <f>+N102*N24*(1+$B$160)*$B$162/O124+O162</f>
        <v>7711.579585488822</v>
      </c>
      <c r="Q162" s="16">
        <f>+O102*O24*(1+$B$160)*$B$162/P124+P162</f>
        <v>8934.6755816133355</v>
      </c>
      <c r="R162" s="16">
        <f>+P102*P24*(1+$B$160)*$B$162/Q124+Q162</f>
        <v>9729.9892342657276</v>
      </c>
      <c r="S162" s="16">
        <f>+Q102*Q24*(1+$B$160)*$B$162/R124+R162</f>
        <v>10562.027326867437</v>
      </c>
      <c r="T162" s="16">
        <f>+R102*R24*(1+$B$160)*$B$162/S124+S162</f>
        <v>11424.881645121062</v>
      </c>
      <c r="U162" s="16">
        <f>+S102*S24*(1+$B$160)*$B$162/T124+T162</f>
        <v>11990.507540764724</v>
      </c>
      <c r="V162" s="16">
        <f>+T102*T24*(1+$B$160)*$B$162/U124+U162</f>
        <v>12584.582738882344</v>
      </c>
      <c r="W162" s="16">
        <f>+U102*U24*(1+$B$160)*$B$162/V124+V162</f>
        <v>13209.478014680086</v>
      </c>
      <c r="X162" s="16">
        <f>+V102*V24*(1+$B$160)*$B$162/W124+W162</f>
        <v>13660.949118839622</v>
      </c>
      <c r="Y162" s="16">
        <f>+W102*W24*(1+$B$160)*$B$162/X124+X162</f>
        <v>14137.480026420602</v>
      </c>
      <c r="Z162" s="16">
        <f>+X102*X24*(1+$B$160)*$B$162/Y124+Y162</f>
        <v>14636.702881981628</v>
      </c>
      <c r="AA162" s="16">
        <f>+Y102*Y24*(1+$B$160)*$B$162/Z124+Z162</f>
        <v>15073.522880597526</v>
      </c>
      <c r="AB162" s="16">
        <f>+Z102*Z24*(1+$B$160)*$B$162/AA124+AA162</f>
        <v>15533.333405456366</v>
      </c>
      <c r="AC162" s="16">
        <f>+AA102*AA24*(1+$B$160)*$B$162/AB124+AB162</f>
        <v>16018.68895947403</v>
      </c>
      <c r="AD162" s="16">
        <f>+AB102*AB24*(1+$B$160)*$B$162/AC124+AC162</f>
        <v>16429.813664053698</v>
      </c>
      <c r="AE162" s="16">
        <f>+AC102*AC24*(1+$B$160)*$B$162/AD124+AD162</f>
        <v>16866.633662669596</v>
      </c>
      <c r="AF162" s="16">
        <f>+AD102*AD24*(1+$B$160)*$B$162/AE124+AE162</f>
        <v>17332.574994526552</v>
      </c>
      <c r="AG162" s="16">
        <f>+AE102*AE24*(1+$B$160)*$B$162/AF124+AF162</f>
        <v>17706.992136197321</v>
      </c>
      <c r="AH162" s="16">
        <f>+AF102*AF24*(1+$B$160)*$B$162/AG124+AG162</f>
        <v>18110.21059645815</v>
      </c>
      <c r="AI162" s="16">
        <f>+AG102*AG24*(1+$B$160)*$B$162/AH124+AH162</f>
        <v>18547.030595074048</v>
      </c>
      <c r="AJ162" s="16">
        <f>+AH102*AH24*(1+$B$160)*$B$162/AI124+AI162</f>
        <v>18785.296048864537</v>
      </c>
      <c r="AK162" s="16">
        <f>+AI102*AI24*(1+$B$160)*$B$162/AJ124+AJ162</f>
        <v>19047.388048034074</v>
      </c>
      <c r="AL162" s="16">
        <f>+AJ102*AJ24*(1+$B$160)*$B$162/AK124+AK162</f>
        <v>19338.601380444674</v>
      </c>
      <c r="AM162" s="16">
        <f>+AK102*AK24*(1+$B$160)*$B$162/AL124+AL162</f>
        <v>19502.408879925635</v>
      </c>
      <c r="AN162" s="16">
        <f>+AL102*AL24*(1+$B$160)*$B$162/AM124+AM162</f>
        <v>19689.617450761019</v>
      </c>
      <c r="AO162" s="16">
        <f>+AM102*AM24*(1+$B$160)*$B$162/AN124+AN162</f>
        <v>19908.027450068967</v>
      </c>
      <c r="AP162" s="16">
        <f>+AN102*AN24*(1+$B$160)*$B$162/AO124+AO162</f>
        <v>19908.027450068967</v>
      </c>
      <c r="AQ162" s="16">
        <f>+AO102*AO24*(1+$B$160)*$B$162/AP124+AP162</f>
        <v>19908.027450068967</v>
      </c>
      <c r="AR162" s="16">
        <f>+AP102*AP24*(1+$B$160)*$B$162/AQ124+AQ162</f>
        <v>19908.027450068967</v>
      </c>
      <c r="AS162" s="16">
        <f>+AQ102*AQ24*(1+$B$160)*$B$162/AR124+AR162</f>
        <v>19908.027450068967</v>
      </c>
      <c r="AT162" s="16">
        <f>+AR102*AR24*(1+$B$160)*$B$162/AS124+AS162</f>
        <v>19908.027450068967</v>
      </c>
      <c r="AU162" s="16"/>
      <c r="AV162" s="16"/>
      <c r="AW162" s="16"/>
      <c r="AX162" s="16"/>
      <c r="AY162" s="16"/>
      <c r="AZ162" s="16"/>
      <c r="BA162" s="16"/>
      <c r="BB162" s="16"/>
      <c r="BC162" s="16"/>
      <c r="BD162" s="16"/>
      <c r="BE162" s="16"/>
      <c r="BF162" s="16"/>
      <c r="BG162" s="16"/>
      <c r="BH162" s="16"/>
      <c r="BI162" s="16"/>
      <c r="BJ162" s="16"/>
      <c r="BK162" s="16"/>
      <c r="BL162" s="16"/>
      <c r="BM162" s="16"/>
      <c r="BN162" s="16"/>
      <c r="BO162" s="16"/>
      <c r="BP162" s="16"/>
      <c r="BQ162" s="16"/>
    </row>
    <row r="163" spans="1:69" s="112" customFormat="1" ht="14" hidden="1" outlineLevel="1">
      <c r="A163" s="121" t="s">
        <v>31</v>
      </c>
      <c r="B163" s="670">
        <f t="shared" si="116"/>
        <v>0.7</v>
      </c>
      <c r="C163" s="633">
        <f>SUM(D163:BQ163)</f>
        <v>1799261.5742988815</v>
      </c>
      <c r="D163" s="84"/>
      <c r="E163" s="84"/>
      <c r="F163" s="84"/>
      <c r="G163" s="84"/>
      <c r="H163" s="84"/>
      <c r="I163" s="84"/>
      <c r="J163" s="84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>
        <f>SUMPRODUCT($D$102:$AR$102,$D$24:$AR$24)*(1+$B$160)*$B$163/3</f>
        <v>599753.85809962719</v>
      </c>
      <c r="AU163" s="16">
        <f>SUMPRODUCT($D$102:$AR$102,$D$24:$AR$24)*(1+$B$160)*$B$163/3</f>
        <v>599753.85809962719</v>
      </c>
      <c r="AV163" s="16">
        <f>SUMPRODUCT($D$102:$AR$102,$D$24:$AR$24)*(1+$B$160)*$B$163/3</f>
        <v>599753.85809962719</v>
      </c>
      <c r="AW163" s="16"/>
      <c r="AX163" s="16"/>
      <c r="AY163" s="16"/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  <c r="BJ163" s="16"/>
      <c r="BK163" s="16"/>
      <c r="BL163" s="16"/>
      <c r="BM163" s="16"/>
      <c r="BN163" s="16"/>
      <c r="BO163" s="16"/>
      <c r="BP163" s="16"/>
      <c r="BQ163" s="16"/>
    </row>
    <row r="164" spans="1:69" s="112" customFormat="1" ht="14" hidden="1" outlineLevel="1">
      <c r="A164" s="121"/>
      <c r="B164" s="670"/>
      <c r="C164" s="633"/>
      <c r="D164" s="84"/>
      <c r="E164" s="84"/>
      <c r="F164" s="84"/>
      <c r="G164" s="84"/>
      <c r="H164" s="84"/>
      <c r="I164" s="84"/>
      <c r="J164" s="84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  <c r="BC164" s="16"/>
      <c r="BD164" s="16"/>
      <c r="BE164" s="16"/>
      <c r="BF164" s="16"/>
      <c r="BG164" s="16"/>
      <c r="BH164" s="16"/>
      <c r="BI164" s="16"/>
      <c r="BJ164" s="16"/>
      <c r="BK164" s="16"/>
      <c r="BL164" s="16"/>
      <c r="BM164" s="16"/>
      <c r="BN164" s="16"/>
      <c r="BO164" s="16"/>
      <c r="BP164" s="16"/>
      <c r="BQ164" s="16"/>
    </row>
    <row r="165" spans="1:69" s="112" customFormat="1" ht="14" hidden="1" outlineLevel="1">
      <c r="A165" s="232" t="s">
        <v>139</v>
      </c>
      <c r="B165" s="670"/>
      <c r="C165" s="633"/>
      <c r="D165" s="84"/>
      <c r="E165" s="84"/>
      <c r="F165" s="84"/>
      <c r="G165" s="84"/>
      <c r="H165" s="84"/>
      <c r="I165" s="84"/>
      <c r="J165" s="84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  <c r="AU165" s="16"/>
      <c r="AV165" s="16"/>
      <c r="AW165" s="16"/>
      <c r="AX165" s="16"/>
      <c r="AY165" s="16"/>
      <c r="AZ165" s="16"/>
      <c r="BA165" s="16"/>
      <c r="BB165" s="16"/>
      <c r="BC165" s="16"/>
      <c r="BD165" s="16"/>
      <c r="BE165" s="16"/>
      <c r="BF165" s="16"/>
      <c r="BG165" s="16"/>
      <c r="BH165" s="16"/>
      <c r="BI165" s="16"/>
      <c r="BJ165" s="16"/>
      <c r="BK165" s="16"/>
      <c r="BL165" s="16"/>
      <c r="BM165" s="16"/>
      <c r="BN165" s="16"/>
      <c r="BO165" s="16"/>
      <c r="BP165" s="16"/>
      <c r="BQ165" s="16"/>
    </row>
    <row r="166" spans="1:69" s="112" customFormat="1" ht="14" hidden="1" outlineLevel="1">
      <c r="A166" s="121" t="str">
        <f>+A151</f>
        <v>Boleto</v>
      </c>
      <c r="B166" s="670">
        <f t="shared" si="116"/>
        <v>0.3</v>
      </c>
      <c r="C166" s="633">
        <f>SUM(D166:BQ166)</f>
        <v>78627.599750861555</v>
      </c>
      <c r="D166" s="84"/>
      <c r="E166" s="84"/>
      <c r="F166" s="84"/>
      <c r="G166" s="84"/>
      <c r="H166" s="84"/>
      <c r="I166" s="84"/>
      <c r="J166" s="84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>
        <f>+AS102*$B$166</f>
        <v>26209.19991695385</v>
      </c>
      <c r="AU166" s="16">
        <f>+AT102*$B$166</f>
        <v>26209.19991695385</v>
      </c>
      <c r="AV166" s="16">
        <f>+AU102*$B$166</f>
        <v>26209.19991695385</v>
      </c>
      <c r="AW166" s="16">
        <f>+AV102*$B$166</f>
        <v>0</v>
      </c>
      <c r="AX166" s="16">
        <f>+AW102*$B$166</f>
        <v>0</v>
      </c>
      <c r="AY166" s="16">
        <f>+AX102*$B$166</f>
        <v>0</v>
      </c>
      <c r="AZ166" s="16">
        <f>+AY102*$B$166</f>
        <v>0</v>
      </c>
      <c r="BA166" s="16">
        <f>+AZ102*$B$166</f>
        <v>0</v>
      </c>
      <c r="BB166" s="16">
        <f>+BA102*$B$166</f>
        <v>0</v>
      </c>
      <c r="BC166" s="16">
        <f>+BB102*$B$166</f>
        <v>0</v>
      </c>
      <c r="BD166" s="16">
        <f>+BC102*$B$166</f>
        <v>0</v>
      </c>
      <c r="BE166" s="16">
        <f>+BD102*$B$166</f>
        <v>0</v>
      </c>
      <c r="BF166" s="16">
        <f>+BE102*$B$166</f>
        <v>0</v>
      </c>
      <c r="BG166" s="16">
        <f>+BF102*$B$166</f>
        <v>0</v>
      </c>
      <c r="BH166" s="16">
        <f>+BG102*$B$166</f>
        <v>0</v>
      </c>
      <c r="BI166" s="16">
        <f>+BH102*$B$166</f>
        <v>0</v>
      </c>
      <c r="BJ166" s="16">
        <f>+BI102*$B$166</f>
        <v>0</v>
      </c>
      <c r="BK166" s="16">
        <f>+BJ102*$B$166</f>
        <v>0</v>
      </c>
      <c r="BL166" s="16">
        <f>+BK102*$B$166</f>
        <v>0</v>
      </c>
      <c r="BM166" s="16">
        <f>+BL102*$B$166</f>
        <v>0</v>
      </c>
      <c r="BN166" s="16">
        <f>+BM102*$B$166</f>
        <v>0</v>
      </c>
      <c r="BO166" s="16">
        <f>+BN102*$B$166</f>
        <v>0</v>
      </c>
      <c r="BP166" s="16">
        <f>+BO102*$B$166</f>
        <v>0</v>
      </c>
      <c r="BQ166" s="16"/>
    </row>
    <row r="167" spans="1:69" s="112" customFormat="1" ht="14" hidden="1" outlineLevel="1">
      <c r="A167" s="121" t="str">
        <f>+A153</f>
        <v>Posesión</v>
      </c>
      <c r="B167" s="670">
        <f t="shared" si="116"/>
        <v>0.7</v>
      </c>
      <c r="C167" s="633">
        <f>SUM(D167:BQ167)</f>
        <v>183464.39941867694</v>
      </c>
      <c r="D167" s="84"/>
      <c r="E167" s="84"/>
      <c r="F167" s="84"/>
      <c r="G167" s="84"/>
      <c r="H167" s="84"/>
      <c r="I167" s="84"/>
      <c r="J167" s="84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  <c r="AU167" s="16">
        <f>+AS102*$B$167</f>
        <v>61154.799806225645</v>
      </c>
      <c r="AV167" s="16">
        <f>+AT102*$B$167</f>
        <v>61154.799806225645</v>
      </c>
      <c r="AW167" s="16">
        <f>+AU102*$B$167</f>
        <v>61154.799806225645</v>
      </c>
      <c r="AX167" s="16">
        <f>+AV102*$B$167</f>
        <v>0</v>
      </c>
      <c r="AY167" s="16">
        <f>+AW102*$B$167</f>
        <v>0</v>
      </c>
      <c r="AZ167" s="16">
        <f>+AX102*$B$167</f>
        <v>0</v>
      </c>
      <c r="BA167" s="16">
        <f>+AY102*$B$167</f>
        <v>0</v>
      </c>
      <c r="BB167" s="16">
        <f>+AZ102*$B$167</f>
        <v>0</v>
      </c>
      <c r="BC167" s="16">
        <f>+BA102*$B$167</f>
        <v>0</v>
      </c>
      <c r="BD167" s="16">
        <f>+BB102*$B$167</f>
        <v>0</v>
      </c>
      <c r="BE167" s="16">
        <f>+BC102*$B$167</f>
        <v>0</v>
      </c>
      <c r="BF167" s="16">
        <f>+BD102*$B$167</f>
        <v>0</v>
      </c>
      <c r="BG167" s="16">
        <f>+BE102*$B$167</f>
        <v>0</v>
      </c>
      <c r="BH167" s="16">
        <f>+BF102*$B$167</f>
        <v>0</v>
      </c>
      <c r="BI167" s="16">
        <f>+BG102*$B$167</f>
        <v>0</v>
      </c>
      <c r="BJ167" s="16">
        <f>+BH102*$B$167</f>
        <v>0</v>
      </c>
      <c r="BK167" s="16">
        <f>+BI102*$B$167</f>
        <v>0</v>
      </c>
      <c r="BL167" s="16">
        <f>+BJ102*$B$167</f>
        <v>0</v>
      </c>
      <c r="BM167" s="16">
        <f>+BK102*$B$167</f>
        <v>0</v>
      </c>
      <c r="BN167" s="16">
        <f>+BL102*$B$167</f>
        <v>0</v>
      </c>
      <c r="BO167" s="16">
        <f>+BM102*$B$167</f>
        <v>0</v>
      </c>
      <c r="BP167" s="16">
        <f>+BN102*$B$167</f>
        <v>0</v>
      </c>
      <c r="BQ167" s="16">
        <f>+BO102*$B$167</f>
        <v>0</v>
      </c>
    </row>
    <row r="168" spans="1:69" s="112" customFormat="1" ht="14" collapsed="1">
      <c r="A168" s="233" t="s">
        <v>233</v>
      </c>
      <c r="B168" s="671"/>
      <c r="C168" s="667">
        <f>SUM(D168:BQ186)</f>
        <v>7954886.789167908</v>
      </c>
      <c r="D168" s="82"/>
      <c r="E168" s="82"/>
      <c r="F168" s="82"/>
      <c r="G168" s="82"/>
      <c r="H168" s="82"/>
      <c r="I168" s="82"/>
      <c r="J168" s="82"/>
      <c r="K168" s="82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82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</row>
    <row r="169" spans="1:69" s="112" customFormat="1" ht="14" hidden="1" outlineLevel="1">
      <c r="A169" s="232" t="s">
        <v>269</v>
      </c>
      <c r="B169" s="615">
        <f>+B150</f>
        <v>0</v>
      </c>
      <c r="C169" s="633"/>
      <c r="D169" s="84"/>
      <c r="E169" s="84"/>
      <c r="F169" s="84"/>
      <c r="G169" s="84"/>
      <c r="H169" s="84"/>
      <c r="I169" s="84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  <c r="BD169" s="16"/>
      <c r="BE169" s="16"/>
      <c r="BF169" s="16"/>
      <c r="BG169" s="16"/>
      <c r="BH169" s="16"/>
      <c r="BI169" s="16"/>
      <c r="BJ169" s="16"/>
      <c r="BK169" s="16"/>
      <c r="BL169" s="16"/>
      <c r="BM169" s="16"/>
      <c r="BN169" s="16"/>
      <c r="BO169" s="16"/>
      <c r="BP169" s="16"/>
      <c r="BQ169" s="16"/>
    </row>
    <row r="170" spans="1:69" s="112" customFormat="1" ht="14" hidden="1" outlineLevel="1">
      <c r="A170" s="121" t="s">
        <v>119</v>
      </c>
      <c r="B170" s="670">
        <f t="shared" ref="B170:B186" si="117">+B151</f>
        <v>0.7</v>
      </c>
      <c r="C170" s="633">
        <f>SUM(D170:BQ170)</f>
        <v>137310.39023510469</v>
      </c>
      <c r="D170" s="84"/>
      <c r="E170" s="84"/>
      <c r="F170" s="84"/>
      <c r="G170" s="84"/>
      <c r="H170" s="84"/>
      <c r="I170" s="84"/>
      <c r="J170" s="84"/>
      <c r="K170" s="16">
        <f>+J103*J22*$B$170*(1+$B$169)</f>
        <v>51226.909576762497</v>
      </c>
      <c r="L170" s="16">
        <f>+K103*K22*$B$170*(1+$B$169)</f>
        <v>38837.792858469387</v>
      </c>
      <c r="M170" s="16">
        <f>+L103*L22*$B$170*(1+$B$169)</f>
        <v>34021.349729784655</v>
      </c>
      <c r="N170" s="16">
        <f>+M103*M22*$B$170*(1+$B$169)</f>
        <v>13224.338070088144</v>
      </c>
      <c r="O170" s="16">
        <f>+N103*N22*$B$170*(1+$B$169)</f>
        <v>0</v>
      </c>
      <c r="P170" s="16">
        <f>+O103*O22*$B$170*(1+$B$169)</f>
        <v>0</v>
      </c>
      <c r="Q170" s="16">
        <f>+P103*P22*$B$170*(1+$B$169)</f>
        <v>0</v>
      </c>
      <c r="R170" s="16">
        <f>+Q103*Q22*$B$170*(1+$B$169)</f>
        <v>0</v>
      </c>
      <c r="S170" s="16">
        <f>+R103*R22*$B$170*(1+$B$169)</f>
        <v>0</v>
      </c>
      <c r="T170" s="16">
        <f>+S103*S22*$B$170*(1+$B$169)</f>
        <v>0</v>
      </c>
      <c r="U170" s="16">
        <f>+T103*T22*$B$170*(1+$B$169)</f>
        <v>0</v>
      </c>
      <c r="V170" s="16">
        <f>+U103*U22*$B$170*(1+$B$169)</f>
        <v>0</v>
      </c>
      <c r="W170" s="16">
        <f>+V103*V22*$B$170*(1+$B$169)</f>
        <v>0</v>
      </c>
      <c r="X170" s="16">
        <f>+W103*W22*$B$170*(1+$B$169)</f>
        <v>0</v>
      </c>
      <c r="Y170" s="16">
        <f>+X103*X22*$B$170*(1+$B$169)</f>
        <v>0</v>
      </c>
      <c r="Z170" s="16">
        <f>+Y103*Y22*$B$170*(1+$B$169)</f>
        <v>0</v>
      </c>
      <c r="AA170" s="16">
        <f>+Z103*Z22*$B$170*(1+$B$169)</f>
        <v>0</v>
      </c>
      <c r="AB170" s="16">
        <f>+AA103*AA22*$B$170*(1+$B$169)</f>
        <v>0</v>
      </c>
      <c r="AC170" s="16">
        <f>+AB103*AB22*$B$170*(1+$B$169)</f>
        <v>0</v>
      </c>
      <c r="AD170" s="16">
        <f>+AC103*AC22*$B$170*(1+$B$169)</f>
        <v>0</v>
      </c>
      <c r="AE170" s="16">
        <f>+AD103*AD22*$B$170*(1+$B$169)</f>
        <v>0</v>
      </c>
      <c r="AF170" s="16">
        <f>+AE103*AE22*$B$170*(1+$B$169)</f>
        <v>0</v>
      </c>
      <c r="AG170" s="16">
        <f>+AF103*AF22*$B$170*(1+$B$169)</f>
        <v>0</v>
      </c>
      <c r="AH170" s="16">
        <f>+AG103*AG22*$B$170*(1+$B$169)</f>
        <v>0</v>
      </c>
      <c r="AI170" s="16">
        <f>+AH103*AH22*$B$170*(1+$B$169)</f>
        <v>0</v>
      </c>
      <c r="AJ170" s="16">
        <f>+AI103*AI22*$B$170*(1+$B$169)</f>
        <v>0</v>
      </c>
      <c r="AK170" s="16">
        <f>+AJ103*AJ22*$B$170*(1+$B$169)</f>
        <v>0</v>
      </c>
      <c r="AL170" s="16">
        <f>+AK103*AK22*$B$170*(1+$B$169)</f>
        <v>0</v>
      </c>
      <c r="AM170" s="16">
        <f>+AL103*AL22*$B$170*(1+$B$169)</f>
        <v>0</v>
      </c>
      <c r="AN170" s="16">
        <f>+AM103*AM22*$B$170*(1+$B$169)</f>
        <v>0</v>
      </c>
      <c r="AO170" s="16">
        <f>+AN103*AN22*$B$170*(1+$B$169)</f>
        <v>0</v>
      </c>
      <c r="AP170" s="16">
        <f>+AO103*AO22*$B$170*(1+$B$169)</f>
        <v>0</v>
      </c>
      <c r="AQ170" s="16">
        <f>+AP103*AP22*$B$170*(1+$B$169)</f>
        <v>0</v>
      </c>
      <c r="AR170" s="16">
        <f>+AQ103*AQ22*$B$170*(1+$B$169)</f>
        <v>0</v>
      </c>
      <c r="AS170" s="16">
        <f>+AR103*AR22*$B$170*(1+$B$169)</f>
        <v>0</v>
      </c>
      <c r="AT170" s="16">
        <f>+AS103*AS22*$B$170*(1+$B$169)</f>
        <v>0</v>
      </c>
      <c r="AU170" s="16">
        <f>+AT103*AT22*$B$170*(1+$B$169)</f>
        <v>0</v>
      </c>
      <c r="AV170" s="16">
        <f>+AU103*AU22*$B$170*(1+$B$169)</f>
        <v>0</v>
      </c>
      <c r="AW170" s="16">
        <f>+AV103*AV22*$B$170*(1+$B$169)</f>
        <v>0</v>
      </c>
      <c r="AX170" s="16">
        <f>+AW103*AW22*$B$170*(1+$B$169)</f>
        <v>0</v>
      </c>
      <c r="AY170" s="16">
        <f>+AX103*AX22*$B$170*(1+$B$169)</f>
        <v>0</v>
      </c>
      <c r="AZ170" s="16"/>
      <c r="BA170" s="16"/>
      <c r="BB170" s="16"/>
      <c r="BC170" s="16"/>
      <c r="BD170" s="16"/>
      <c r="BE170" s="16"/>
      <c r="BF170" s="16"/>
      <c r="BG170" s="16"/>
      <c r="BH170" s="16"/>
      <c r="BI170" s="16"/>
      <c r="BJ170" s="16"/>
      <c r="BK170" s="16"/>
      <c r="BL170" s="16"/>
      <c r="BM170" s="16"/>
      <c r="BN170" s="16"/>
      <c r="BO170" s="16"/>
      <c r="BP170" s="16"/>
      <c r="BQ170" s="16"/>
    </row>
    <row r="171" spans="1:69" s="112" customFormat="1" ht="14" hidden="1" outlineLevel="1">
      <c r="A171" s="121" t="s">
        <v>1</v>
      </c>
      <c r="B171" s="670">
        <f t="shared" si="117"/>
        <v>0</v>
      </c>
      <c r="C171" s="633">
        <f>SUM(D171:BQ171)</f>
        <v>0</v>
      </c>
      <c r="D171" s="84"/>
      <c r="E171" s="84"/>
      <c r="F171" s="84"/>
      <c r="G171" s="84"/>
      <c r="H171" s="84"/>
      <c r="I171" s="84"/>
      <c r="J171" s="84"/>
      <c r="K171" s="84"/>
      <c r="L171" s="16">
        <f>+J103*J22*(1+$B$169)*$B$171/K125+K171</f>
        <v>0</v>
      </c>
      <c r="M171" s="16">
        <f>+K103*K22*(1+$B$169)*$B$171/L125+L171</f>
        <v>0</v>
      </c>
      <c r="N171" s="16">
        <f>+L103*L22*(1+$B$169)*$B$171/M125+M171</f>
        <v>0</v>
      </c>
      <c r="O171" s="16">
        <f>+M103*M22*(1+$B$169)*$B$171/N125+N171</f>
        <v>0</v>
      </c>
      <c r="P171" s="16">
        <f>+N103*N22*(1+$B$169)*$B$171/O125+O171</f>
        <v>0</v>
      </c>
      <c r="Q171" s="16">
        <f>+O103*O22*(1+$B$169)*$B$171/P125+P171</f>
        <v>0</v>
      </c>
      <c r="R171" s="16">
        <f>+P103*P22*(1+$B$169)*$B$171/Q125+Q171</f>
        <v>0</v>
      </c>
      <c r="S171" s="16">
        <f>+Q103*Q22*(1+$B$169)*$B$171/R125+R171</f>
        <v>0</v>
      </c>
      <c r="T171" s="16">
        <f>+R103*R22*(1+$B$169)*$B$171/S125+S171</f>
        <v>0</v>
      </c>
      <c r="U171" s="16">
        <f>+S103*S22*(1+$B$169)*$B$171/T125+T171</f>
        <v>0</v>
      </c>
      <c r="V171" s="16">
        <f>+T103*T22*(1+$B$169)*$B$171/U125+U171</f>
        <v>0</v>
      </c>
      <c r="W171" s="16">
        <f>+U103*U22*(1+$B$169)*$B$171/V125+V171</f>
        <v>0</v>
      </c>
      <c r="X171" s="16">
        <f>+V103*V22*(1+$B$169)*$B$171/W125+W171</f>
        <v>0</v>
      </c>
      <c r="Y171" s="16">
        <f>+W103*W22*(1+$B$169)*$B$171/X125+X171</f>
        <v>0</v>
      </c>
      <c r="Z171" s="16">
        <f>+X103*X22*(1+$B$169)*$B$171/Y125+Y171</f>
        <v>0</v>
      </c>
      <c r="AA171" s="16">
        <f>+Y103*Y22*(1+$B$169)*$B$171/Z125+Z171</f>
        <v>0</v>
      </c>
      <c r="AB171" s="16">
        <f>+Z103*Z22*(1+$B$169)*$B$171/AA125+AA171</f>
        <v>0</v>
      </c>
      <c r="AC171" s="16">
        <f>+AA103*AA22*(1+$B$169)*$B$171/AB125+AB171</f>
        <v>0</v>
      </c>
      <c r="AD171" s="16">
        <f>+AB103*AB22*(1+$B$169)*$B$171/AC125+AC171</f>
        <v>0</v>
      </c>
      <c r="AE171" s="16">
        <f>+AC103*AC22*(1+$B$169)*$B$171/AD125+AD171</f>
        <v>0</v>
      </c>
      <c r="AF171" s="16">
        <f>+AD103*AD22*(1+$B$169)*$B$171/AE125+AE171</f>
        <v>0</v>
      </c>
      <c r="AG171" s="16">
        <f>+AE103*AE22*(1+$B$169)*$B$171/AF125+AF171</f>
        <v>0</v>
      </c>
      <c r="AH171" s="16">
        <f>+AF103*AF22*(1+$B$169)*$B$171/AG125+AG171</f>
        <v>0</v>
      </c>
      <c r="AI171" s="16">
        <f>+AG103*AG22*(1+$B$169)*$B$171/AH125+AH171</f>
        <v>0</v>
      </c>
      <c r="AJ171" s="16">
        <f>+AH103*AH22*(1+$B$169)*$B$171/AI125+AI171</f>
        <v>0</v>
      </c>
      <c r="AK171" s="16">
        <f>+AI103*AI22*(1+$B$169)*$B$171/AJ125+AJ171</f>
        <v>0</v>
      </c>
      <c r="AL171" s="16">
        <f>+AJ103*AJ22*(1+$B$169)*$B$171/AK125+AK171</f>
        <v>0</v>
      </c>
      <c r="AM171" s="16">
        <f>+AK103*AK22*(1+$B$169)*$B$171/AL125+AL171</f>
        <v>0</v>
      </c>
      <c r="AN171" s="16">
        <f>+AL103*AL22*(1+$B$169)*$B$171/AM125+AM171</f>
        <v>0</v>
      </c>
      <c r="AO171" s="16">
        <f>+AM103*AM22*(1+$B$169)*$B$171/AN125+AN171</f>
        <v>0</v>
      </c>
      <c r="AP171" s="16">
        <f>+AN103*AN22*(1+$B$169)*$B$171/AO125+AO171</f>
        <v>0</v>
      </c>
      <c r="AQ171" s="16">
        <f>+AO103*AO22*(1+$B$169)*$B$171/AP125+AP171</f>
        <v>0</v>
      </c>
      <c r="AR171" s="16">
        <f>+AP103*AP22*(1+$B$169)*$B$171/AQ125+AQ171</f>
        <v>0</v>
      </c>
      <c r="AS171" s="16">
        <f>+AQ103*AQ22*(1+$B$169)*$B$171/AR125+AR171</f>
        <v>0</v>
      </c>
      <c r="AT171" s="16">
        <f>+AR103*AR22*(1+$B$169)*$B$171/AS125+AS171</f>
        <v>0</v>
      </c>
      <c r="AU171" s="16">
        <f>+AS103*AS22*(1+$B$169)*$B$171/AT125+AT171</f>
        <v>0</v>
      </c>
      <c r="AV171" s="16">
        <f>+AT103*AT22*(1+$B$169)*$B$171/AU125+AU171</f>
        <v>0</v>
      </c>
      <c r="AW171" s="16">
        <f>+AU103*AU22*(1+$B$169)*$B$171/AV125+AV171</f>
        <v>0</v>
      </c>
      <c r="AX171" s="16">
        <f>+AV103*AV22*(1+$B$169)*$B$171/AW125+AW171</f>
        <v>0</v>
      </c>
      <c r="AY171" s="16">
        <f>+AW103*AW22*(1+$B$169)*$B$171/AX125+AX171</f>
        <v>0</v>
      </c>
      <c r="AZ171" s="16">
        <f>+AX103*AX22*(1+$B$169)*$B$171/AY125+AY171</f>
        <v>0</v>
      </c>
      <c r="BA171" s="16"/>
      <c r="BB171" s="16"/>
      <c r="BC171" s="16"/>
      <c r="BD171" s="16"/>
      <c r="BE171" s="16"/>
      <c r="BF171" s="16"/>
      <c r="BG171" s="16"/>
      <c r="BH171" s="16"/>
      <c r="BI171" s="16"/>
      <c r="BJ171" s="16"/>
      <c r="BK171" s="16"/>
      <c r="BL171" s="16"/>
      <c r="BM171" s="16"/>
      <c r="BN171" s="16"/>
      <c r="BO171" s="16"/>
      <c r="BP171" s="16"/>
      <c r="BQ171" s="16"/>
    </row>
    <row r="172" spans="1:69" s="112" customFormat="1" ht="14" hidden="1" outlineLevel="1">
      <c r="A172" s="121" t="s">
        <v>31</v>
      </c>
      <c r="B172" s="670">
        <f t="shared" si="117"/>
        <v>0.3</v>
      </c>
      <c r="C172" s="633">
        <f>SUM(D172:BQ172)</f>
        <v>58847.310100759154</v>
      </c>
      <c r="D172" s="84"/>
      <c r="E172" s="84"/>
      <c r="F172" s="84"/>
      <c r="G172" s="84"/>
      <c r="H172" s="84"/>
      <c r="I172" s="84"/>
      <c r="J172" s="84"/>
      <c r="K172" s="84"/>
      <c r="L172" s="84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  <c r="AU172" s="16"/>
      <c r="AV172" s="16"/>
      <c r="AW172" s="16"/>
      <c r="AX172" s="16"/>
      <c r="AY172" s="16"/>
      <c r="AZ172" s="16">
        <f>SUMPRODUCT($D$103:$AX$103,$D$22:$AX$22)*(1+$B$169)*$B$172/3</f>
        <v>19615.770033586385</v>
      </c>
      <c r="BA172" s="16">
        <f>SUMPRODUCT($D$103:$AX$103,$D$22:$AX$22)*(1+$B$169)*$B$172/3</f>
        <v>19615.770033586385</v>
      </c>
      <c r="BB172" s="16">
        <f>SUMPRODUCT($D$103:$AX$103,$D$22:$AX$22)*(1+$B$169)*$B$172/3</f>
        <v>19615.770033586385</v>
      </c>
      <c r="BC172" s="16"/>
      <c r="BD172" s="16"/>
      <c r="BE172" s="16"/>
      <c r="BF172" s="16"/>
      <c r="BG172" s="16"/>
      <c r="BH172" s="16"/>
      <c r="BI172" s="16"/>
      <c r="BJ172" s="16"/>
      <c r="BK172" s="16"/>
      <c r="BL172" s="16"/>
      <c r="BM172" s="16"/>
      <c r="BN172" s="16"/>
      <c r="BO172" s="16"/>
      <c r="BP172" s="16"/>
      <c r="BQ172" s="16"/>
    </row>
    <row r="173" spans="1:69" s="112" customFormat="1" ht="14" hidden="1" outlineLevel="1">
      <c r="A173" s="121"/>
      <c r="B173" s="670"/>
      <c r="C173" s="633"/>
      <c r="D173" s="84"/>
      <c r="E173" s="84"/>
      <c r="F173" s="84"/>
      <c r="G173" s="84"/>
      <c r="H173" s="84"/>
      <c r="I173" s="84"/>
      <c r="J173" s="84"/>
      <c r="K173" s="84"/>
      <c r="L173" s="84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H173" s="16"/>
      <c r="BI173" s="16"/>
      <c r="BJ173" s="16"/>
      <c r="BK173" s="16"/>
      <c r="BL173" s="16"/>
      <c r="BM173" s="16"/>
      <c r="BN173" s="16"/>
      <c r="BO173" s="16"/>
      <c r="BP173" s="16"/>
      <c r="BQ173" s="16"/>
    </row>
    <row r="174" spans="1:69" s="112" customFormat="1" ht="14" hidden="1" outlineLevel="1">
      <c r="A174" s="232" t="s">
        <v>270</v>
      </c>
      <c r="B174" s="615">
        <f t="shared" si="117"/>
        <v>0</v>
      </c>
      <c r="C174" s="633"/>
      <c r="D174" s="84"/>
      <c r="E174" s="84"/>
      <c r="F174" s="84"/>
      <c r="G174" s="84"/>
      <c r="H174" s="84"/>
      <c r="I174" s="84"/>
      <c r="J174" s="84"/>
      <c r="K174" s="84"/>
      <c r="L174" s="84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  <c r="AU174" s="16"/>
      <c r="AV174" s="16"/>
      <c r="AW174" s="16"/>
      <c r="AX174" s="16"/>
      <c r="AY174" s="16"/>
      <c r="AZ174" s="16"/>
      <c r="BA174" s="16"/>
      <c r="BB174" s="16"/>
      <c r="BC174" s="16"/>
      <c r="BD174" s="16"/>
      <c r="BE174" s="16"/>
      <c r="BF174" s="16"/>
      <c r="BG174" s="16"/>
      <c r="BH174" s="16"/>
      <c r="BI174" s="16"/>
      <c r="BJ174" s="16"/>
      <c r="BK174" s="16"/>
      <c r="BL174" s="16"/>
      <c r="BM174" s="16"/>
      <c r="BN174" s="16"/>
      <c r="BO174" s="16"/>
      <c r="BP174" s="16"/>
      <c r="BQ174" s="16"/>
    </row>
    <row r="175" spans="1:69" s="112" customFormat="1" ht="14" hidden="1" outlineLevel="1">
      <c r="A175" s="121" t="s">
        <v>119</v>
      </c>
      <c r="B175" s="670">
        <f t="shared" si="117"/>
        <v>0.3</v>
      </c>
      <c r="C175" s="633">
        <f>SUM(D175:BQ175)</f>
        <v>1590416.5663545188</v>
      </c>
      <c r="D175" s="84"/>
      <c r="E175" s="84"/>
      <c r="F175" s="84"/>
      <c r="G175" s="84"/>
      <c r="H175" s="84"/>
      <c r="I175" s="84"/>
      <c r="J175" s="84"/>
      <c r="K175" s="84">
        <f>+J103*J23*(1+$B$174)*$B$175</f>
        <v>87817.559274449988</v>
      </c>
      <c r="L175" s="84">
        <f>+K103*K23*(1+$B$174)*$B$175</f>
        <v>66579.073471661817</v>
      </c>
      <c r="M175" s="84">
        <f>+L103*L23*(1+$B$174)*$B$175</f>
        <v>58322.313822487988</v>
      </c>
      <c r="N175" s="84">
        <f>+M103*M23*(1+$B$174)*$B$175</f>
        <v>56675.73458609204</v>
      </c>
      <c r="O175" s="84">
        <f>+N103*N23*(1+$B$174)*$B$175</f>
        <v>63327.676066459695</v>
      </c>
      <c r="P175" s="84">
        <f>+O103*O23*(1+$B$174)*$B$175</f>
        <v>64312.044088218136</v>
      </c>
      <c r="Q175" s="84">
        <f>+P103*P23*(1+$B$174)*$B$175</f>
        <v>49612.148296625412</v>
      </c>
      <c r="R175" s="84">
        <f>+Q103*Q23*(1+$B$174)*$B$175</f>
        <v>50113.281107702438</v>
      </c>
      <c r="S175" s="84">
        <f>+R103*R23*(1+$B$174)*$B$175</f>
        <v>50113.281107702438</v>
      </c>
      <c r="T175" s="84">
        <f>+S103*S23*(1+$B$174)*$B$175</f>
        <v>39165.91553238887</v>
      </c>
      <c r="U175" s="84">
        <f>+T103*T23*(1+$B$174)*$B$175</f>
        <v>39553.696874293717</v>
      </c>
      <c r="V175" s="84">
        <f>+U103*U23*(1+$B$174)*$B$175</f>
        <v>39941.478216198549</v>
      </c>
      <c r="W175" s="84">
        <f>+V103*V23*(1+$B$174)*$B$175</f>
        <v>34745.208234673693</v>
      </c>
      <c r="X175" s="84">
        <f>+W103*W23*(1+$B$174)*$B$175</f>
        <v>35079.296775391704</v>
      </c>
      <c r="Y175" s="84">
        <f>+X103*X23*(1+$B$174)*$B$175</f>
        <v>35079.296775391704</v>
      </c>
      <c r="Z175" s="84">
        <f>+Y103*Y23*(1+$B$174)*$B$175</f>
        <v>37584.960830776829</v>
      </c>
      <c r="AA175" s="84">
        <f>+Z103*Z23*(1+$B$174)*$B$175</f>
        <v>37584.960830776829</v>
      </c>
      <c r="AB175" s="84">
        <f>+AA103*AA23*(1+$B$174)*$B$175</f>
        <v>37584.960830776829</v>
      </c>
      <c r="AC175" s="84">
        <f>+AB103*AB23*(1+$B$174)*$B$175</f>
        <v>40090.624886161953</v>
      </c>
      <c r="AD175" s="84">
        <f>+AC103*AC23*(1+$B$174)*$B$175</f>
        <v>40090.624886161953</v>
      </c>
      <c r="AE175" s="84">
        <f>+AD103*AD23*(1+$B$174)*$B$175</f>
        <v>40090.624886161953</v>
      </c>
      <c r="AF175" s="84">
        <f>+AE103*AE23*(1+$B$174)*$B$175</f>
        <v>42596.288941547071</v>
      </c>
      <c r="AG175" s="84">
        <f>+AF103*AF23*(1+$B$174)*$B$175</f>
        <v>42596.288941547071</v>
      </c>
      <c r="AH175" s="84">
        <f>+AG103*AG23*(1+$B$174)*$B$175</f>
        <v>42596.288941547071</v>
      </c>
      <c r="AI175" s="84">
        <f>+AH103*AH23*(1+$B$174)*$B$175</f>
        <v>33826.464747699145</v>
      </c>
      <c r="AJ175" s="84">
        <f>+AI103*AI23*(1+$B$174)*$B$175</f>
        <v>33826.464747699145</v>
      </c>
      <c r="AK175" s="84">
        <f>+AJ103*AJ23*(1+$B$174)*$B$175</f>
        <v>33826.464747699145</v>
      </c>
      <c r="AL175" s="84">
        <f>+AK103*AK23*(1+$B$174)*$B$175</f>
        <v>35705.712789237979</v>
      </c>
      <c r="AM175" s="84">
        <f>+AL103*AL23*(1+$B$174)*$B$175</f>
        <v>35705.712789237979</v>
      </c>
      <c r="AN175" s="84">
        <f>+AM103*AM23*(1+$B$174)*$B$175</f>
        <v>35705.712789237979</v>
      </c>
      <c r="AO175" s="84">
        <f>+AN103*AN23*(1+$B$174)*$B$175</f>
        <v>37584.960830776829</v>
      </c>
      <c r="AP175" s="84">
        <f>+AO103*AO23*(1+$B$174)*$B$175</f>
        <v>37584.960830776829</v>
      </c>
      <c r="AQ175" s="84">
        <f>+AP103*AP23*(1+$B$174)*$B$175</f>
        <v>37584.960830776829</v>
      </c>
      <c r="AR175" s="84">
        <f>+AQ103*AQ23*(1+$B$174)*$B$175</f>
        <v>37584.960830776829</v>
      </c>
      <c r="AS175" s="84">
        <f>+AR103*AR23*(1+$B$174)*$B$175</f>
        <v>25056.640553851219</v>
      </c>
      <c r="AT175" s="84">
        <f>+AS103*AS23*(1+$B$174)*$B$175</f>
        <v>25056.640553851219</v>
      </c>
      <c r="AU175" s="84">
        <f>+AT103*AT23*(1+$B$174)*$B$175</f>
        <v>25056.640553851219</v>
      </c>
      <c r="AV175" s="84">
        <f>+AU103*AU23*(1+$B$174)*$B$175</f>
        <v>25056.640553851219</v>
      </c>
      <c r="AW175" s="84">
        <f>+AV103*AV23*(1+$B$174)*$B$175</f>
        <v>0</v>
      </c>
      <c r="AX175" s="84">
        <f>+AW103*AW23*(1+$B$174)*$B$175</f>
        <v>0</v>
      </c>
      <c r="AY175" s="84">
        <f>+AX103*AX23*(1+$B$174)*$B$175</f>
        <v>0</v>
      </c>
      <c r="AZ175" s="16"/>
      <c r="BA175" s="16"/>
      <c r="BB175" s="16"/>
      <c r="BC175" s="16"/>
      <c r="BD175" s="16"/>
      <c r="BE175" s="16"/>
      <c r="BF175" s="16"/>
      <c r="BG175" s="16"/>
      <c r="BH175" s="16"/>
      <c r="BI175" s="16"/>
      <c r="BJ175" s="16"/>
      <c r="BK175" s="16"/>
      <c r="BL175" s="16"/>
      <c r="BM175" s="16"/>
      <c r="BN175" s="16"/>
      <c r="BO175" s="16"/>
      <c r="BP175" s="16"/>
      <c r="BQ175" s="16"/>
    </row>
    <row r="176" spans="1:69" s="112" customFormat="1" ht="14" hidden="1" outlineLevel="1">
      <c r="A176" s="121" t="s">
        <v>1</v>
      </c>
      <c r="B176" s="670">
        <f t="shared" si="117"/>
        <v>0.6</v>
      </c>
      <c r="C176" s="633">
        <f>SUM(D176:BQ176)</f>
        <v>3180833.1327090384</v>
      </c>
      <c r="D176" s="84"/>
      <c r="E176" s="84"/>
      <c r="F176" s="84"/>
      <c r="G176" s="84"/>
      <c r="H176" s="84"/>
      <c r="I176" s="84"/>
      <c r="J176" s="84"/>
      <c r="K176" s="84"/>
      <c r="L176" s="84">
        <f>+J103*J23*(1+$B$174)*$B$176/K125+K176</f>
        <v>4283.7833792414631</v>
      </c>
      <c r="M176" s="84">
        <f>+K103*K23*(1+$B$174)*$B$176/L125+L176</f>
        <v>7612.7370528245538</v>
      </c>
      <c r="N176" s="84">
        <f>+L103*L23*(1+$B$174)*$B$176/M125+M176</f>
        <v>10603.624941157272</v>
      </c>
      <c r="O176" s="84">
        <f>+M103*M23*(1+$B$174)*$B$176/N125+N176</f>
        <v>13586.558340425274</v>
      </c>
      <c r="P176" s="84">
        <f>+N103*N23*(1+$B$174)*$B$176/O125+O176</f>
        <v>17009.675965639311</v>
      </c>
      <c r="Q176" s="84">
        <f>+O103*O23*(1+$B$174)*$B$176/P125+P176</f>
        <v>20582.567303873653</v>
      </c>
      <c r="R176" s="84">
        <f>+P103*P23*(1+$B$174)*$B$176/Q125+Q176</f>
        <v>23417.547206537962</v>
      </c>
      <c r="S176" s="84">
        <f>+Q103*Q23*(1+$B$174)*$B$176/R125+R176</f>
        <v>26365.387271696927</v>
      </c>
      <c r="T176" s="84">
        <f>+R103*R23*(1+$B$174)*$B$176/S125+S176</f>
        <v>29402.555823678893</v>
      </c>
      <c r="U176" s="84">
        <f>+S103*S23*(1+$B$174)*$B$176/T125+T176</f>
        <v>31850.425544453195</v>
      </c>
      <c r="V176" s="84">
        <f>+T103*T23*(1+$B$174)*$B$176/U125+U176</f>
        <v>34402.276955697955</v>
      </c>
      <c r="W176" s="84">
        <f>+U103*U23*(1+$B$174)*$B$176/V125+V176</f>
        <v>37065.042170111192</v>
      </c>
      <c r="X176" s="84">
        <f>+V103*V23*(1+$B$174)*$B$176/W125+W176</f>
        <v>39461.263427674894</v>
      </c>
      <c r="Y176" s="84">
        <f>+W103*W23*(1+$B$174)*$B$176/X125+X176</f>
        <v>41966.927483060019</v>
      </c>
      <c r="Z176" s="84">
        <f>+X103*X23*(1+$B$174)*$B$176/Y125+Y176</f>
        <v>44565.393910866813</v>
      </c>
      <c r="AA176" s="84">
        <f>+Y103*Y23*(1+$B$174)*$B$176/Z125+Z176</f>
        <v>47456.544744003491</v>
      </c>
      <c r="AB176" s="84">
        <f>+Z103*Z23*(1+$B$174)*$B$176/AA125+AA176</f>
        <v>50463.341610465635</v>
      </c>
      <c r="AC176" s="84">
        <f>+AA103*AA23*(1+$B$174)*$B$176/AB125+AB176</f>
        <v>53595.421679697036</v>
      </c>
      <c r="AD176" s="84">
        <f>+AB103*AB23*(1+$B$174)*$B$176/AC125+AC176</f>
        <v>57081.562974145898</v>
      </c>
      <c r="AE176" s="84">
        <f>+AC103*AC23*(1+$B$174)*$B$176/AD125+AD176</f>
        <v>60726.165236524255</v>
      </c>
      <c r="AF176" s="84">
        <f>+AD103*AD23*(1+$B$174)*$B$176/AE125+AE176</f>
        <v>64544.319987587296</v>
      </c>
      <c r="AG176" s="84">
        <f>+AE103*AE23*(1+$B$174)*$B$176/AF125+AF176</f>
        <v>68803.948881742006</v>
      </c>
      <c r="AH176" s="84">
        <f>+AF103*AF23*(1+$B$174)*$B$176/AG125+AG176</f>
        <v>73287.768770325914</v>
      </c>
      <c r="AI176" s="84">
        <f>+AG103*AG23*(1+$B$174)*$B$176/AH125+AH176</f>
        <v>78020.689763831149</v>
      </c>
      <c r="AJ176" s="84">
        <f>+AH103*AH23*(1+$B$174)*$B$176/AI125+AI176</f>
        <v>82000.273851795748</v>
      </c>
      <c r="AK176" s="84">
        <f>+AI103*AI23*(1+$B$174)*$B$176/AJ125+AJ176</f>
        <v>86228.581945258135</v>
      </c>
      <c r="AL176" s="84">
        <f>+AJ103*AJ23*(1+$B$174)*$B$176/AK125+AK176</f>
        <v>90738.777244951358</v>
      </c>
      <c r="AM176" s="84">
        <f>+AK103*AK23*(1+$B$174)*$B$176/AL125+AL176</f>
        <v>95839.593357699647</v>
      </c>
      <c r="AN176" s="84">
        <f>+AL103*AL23*(1+$B$174)*$B$176/AM125+AM176</f>
        <v>101332.77994065934</v>
      </c>
      <c r="AO176" s="84">
        <f>+AM103*AM23*(1+$B$174)*$B$176/AN125+AN176</f>
        <v>107283.732072199</v>
      </c>
      <c r="AP176" s="84">
        <f>+AN103*AN23*(1+$B$174)*$B$176/AO125+AO176</f>
        <v>114117.36131415842</v>
      </c>
      <c r="AQ176" s="84">
        <f>+AO103*AO23*(1+$B$174)*$B$176/AP125+AP176</f>
        <v>121634.35348031379</v>
      </c>
      <c r="AR176" s="84">
        <f>+AP103*AP23*(1+$B$174)*$B$176/AQ125+AQ176</f>
        <v>129986.5669982642</v>
      </c>
      <c r="AS176" s="84">
        <f>+AQ103*AQ23*(1+$B$174)*$B$176/AR125+AR176</f>
        <v>139382.80720595841</v>
      </c>
      <c r="AT176" s="84">
        <f>+AR103*AR23*(1+$B$174)*$B$176/AS125+AS176</f>
        <v>146541.84736420162</v>
      </c>
      <c r="AU176" s="84">
        <f>+AS103*AS23*(1+$B$174)*$B$176/AT125+AT176</f>
        <v>154894.06088215203</v>
      </c>
      <c r="AV176" s="84">
        <f>+AT103*AT23*(1+$B$174)*$B$176/AU125+AU176</f>
        <v>164916.71710369253</v>
      </c>
      <c r="AW176" s="84">
        <f>+AU103*AU23*(1+$B$174)*$B$176/AV125+AV176</f>
        <v>177445.03738061813</v>
      </c>
      <c r="AX176" s="84">
        <f>+AV103*AV23*(1+$B$174)*$B$176/AW125+AW176</f>
        <v>177445.03738061813</v>
      </c>
      <c r="AY176" s="84">
        <f>+AW103*AW23*(1+$B$174)*$B$176/AX125+AX176</f>
        <v>177445.03738061813</v>
      </c>
      <c r="AZ176" s="84">
        <f>+AX103*AX23*(1+$B$174)*$B$176/AY125+AY176</f>
        <v>177445.03738061813</v>
      </c>
      <c r="BA176" s="84"/>
      <c r="BB176" s="16"/>
      <c r="BC176" s="16"/>
      <c r="BD176" s="16"/>
      <c r="BE176" s="16"/>
      <c r="BF176" s="16"/>
      <c r="BG176" s="16"/>
      <c r="BH176" s="16"/>
      <c r="BI176" s="16"/>
      <c r="BJ176" s="16"/>
      <c r="BK176" s="16"/>
      <c r="BL176" s="16"/>
      <c r="BM176" s="16"/>
      <c r="BN176" s="16"/>
      <c r="BO176" s="16"/>
      <c r="BP176" s="16"/>
      <c r="BQ176" s="16"/>
    </row>
    <row r="177" spans="1:69" s="112" customFormat="1" ht="14" hidden="1" outlineLevel="1">
      <c r="A177" s="121" t="s">
        <v>31</v>
      </c>
      <c r="B177" s="670">
        <f t="shared" si="117"/>
        <v>0.1</v>
      </c>
      <c r="C177" s="633">
        <f>SUM(D177:BQ177)</f>
        <v>530138.85545150656</v>
      </c>
      <c r="D177" s="84"/>
      <c r="E177" s="84"/>
      <c r="F177" s="84"/>
      <c r="G177" s="84"/>
      <c r="H177" s="84"/>
      <c r="I177" s="84"/>
      <c r="J177" s="84"/>
      <c r="K177" s="84"/>
      <c r="L177" s="84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  <c r="AU177" s="16"/>
      <c r="AV177" s="16"/>
      <c r="AW177" s="16"/>
      <c r="AX177" s="16"/>
      <c r="AY177" s="16"/>
      <c r="AZ177" s="16">
        <f>SUMPRODUCT($D$103:$AX$103,$D$23:$AX$23)*(1+$B$174)*$B$177/3</f>
        <v>176712.95181716885</v>
      </c>
      <c r="BA177" s="16">
        <f>SUMPRODUCT($D$103:$AX$103,$D$23:$AX$23)*(1+$B$174)*$B$177/3</f>
        <v>176712.95181716885</v>
      </c>
      <c r="BB177" s="16">
        <f>SUMPRODUCT($D$103:$AX$103,$D$23:$AX$23)*(1+$B$174)*$B$177/3</f>
        <v>176712.95181716885</v>
      </c>
      <c r="BC177" s="16"/>
      <c r="BD177" s="16"/>
      <c r="BE177" s="16"/>
      <c r="BF177" s="16"/>
      <c r="BG177" s="16"/>
      <c r="BH177" s="16"/>
      <c r="BI177" s="16"/>
      <c r="BJ177" s="16"/>
      <c r="BK177" s="16"/>
      <c r="BL177" s="16"/>
      <c r="BM177" s="16"/>
      <c r="BN177" s="16"/>
      <c r="BO177" s="16"/>
      <c r="BP177" s="16"/>
      <c r="BQ177" s="16"/>
    </row>
    <row r="178" spans="1:69" s="112" customFormat="1" ht="14" hidden="1" outlineLevel="1">
      <c r="A178" s="121"/>
      <c r="B178" s="670"/>
      <c r="C178" s="633"/>
      <c r="D178" s="84"/>
      <c r="E178" s="84"/>
      <c r="F178" s="84"/>
      <c r="G178" s="84"/>
      <c r="H178" s="84"/>
      <c r="I178" s="84"/>
      <c r="J178" s="84"/>
      <c r="K178" s="84"/>
      <c r="L178" s="84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  <c r="AU178" s="16"/>
      <c r="AV178" s="16"/>
      <c r="AW178" s="16"/>
      <c r="AX178" s="16"/>
      <c r="AY178" s="16"/>
      <c r="AZ178" s="16"/>
      <c r="BA178" s="16"/>
      <c r="BB178" s="16"/>
      <c r="BC178" s="16"/>
      <c r="BD178" s="16"/>
      <c r="BE178" s="16"/>
      <c r="BF178" s="16"/>
      <c r="BG178" s="16"/>
      <c r="BH178" s="16"/>
      <c r="BI178" s="16"/>
      <c r="BJ178" s="16"/>
      <c r="BK178" s="16"/>
      <c r="BL178" s="16"/>
      <c r="BM178" s="16"/>
      <c r="BN178" s="16"/>
      <c r="BO178" s="16"/>
      <c r="BP178" s="16"/>
      <c r="BQ178" s="16"/>
    </row>
    <row r="179" spans="1:69" s="112" customFormat="1" ht="14" hidden="1" outlineLevel="1">
      <c r="A179" s="232" t="s">
        <v>271</v>
      </c>
      <c r="B179" s="615">
        <f t="shared" si="117"/>
        <v>0</v>
      </c>
      <c r="C179" s="633"/>
      <c r="D179" s="84"/>
      <c r="E179" s="84"/>
      <c r="F179" s="84"/>
      <c r="G179" s="84"/>
      <c r="H179" s="84"/>
      <c r="I179" s="84"/>
      <c r="J179" s="84"/>
      <c r="K179" s="84"/>
      <c r="L179" s="84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  <c r="AU179" s="16"/>
      <c r="AV179" s="16"/>
      <c r="AW179" s="16"/>
      <c r="AX179" s="16"/>
      <c r="AY179" s="16"/>
      <c r="AZ179" s="16"/>
      <c r="BA179" s="16"/>
      <c r="BB179" s="16"/>
      <c r="BC179" s="16"/>
      <c r="BD179" s="16"/>
      <c r="BE179" s="16"/>
      <c r="BF179" s="16"/>
      <c r="BG179" s="16"/>
      <c r="BH179" s="16"/>
      <c r="BI179" s="16"/>
      <c r="BJ179" s="16"/>
      <c r="BK179" s="16"/>
      <c r="BL179" s="16"/>
      <c r="BM179" s="16"/>
      <c r="BN179" s="16"/>
      <c r="BO179" s="16"/>
      <c r="BP179" s="16"/>
      <c r="BQ179" s="16"/>
    </row>
    <row r="180" spans="1:69" s="112" customFormat="1" ht="14" hidden="1" outlineLevel="1">
      <c r="A180" s="121" t="s">
        <v>119</v>
      </c>
      <c r="B180" s="670">
        <f t="shared" si="117"/>
        <v>0.1</v>
      </c>
      <c r="C180" s="633">
        <f>SUM(D180:BQ180)</f>
        <v>245734.05343169806</v>
      </c>
      <c r="D180" s="84"/>
      <c r="E180" s="84"/>
      <c r="F180" s="84"/>
      <c r="G180" s="84"/>
      <c r="H180" s="84"/>
      <c r="I180" s="84"/>
      <c r="J180" s="84"/>
      <c r="K180" s="84">
        <f>+J103*J24*(1+$B$179)*$B$180</f>
        <v>36590.649697687499</v>
      </c>
      <c r="L180" s="84">
        <f>+K103*K24*(1+$B$179)*$B$180</f>
        <v>27741.280613192423</v>
      </c>
      <c r="M180" s="84">
        <f>+L103*L24*(1+$B$179)*$B$180</f>
        <v>24300.964092703329</v>
      </c>
      <c r="N180" s="84">
        <f>+M103*M24*(1+$B$179)*$B$180</f>
        <v>17002.720375827615</v>
      </c>
      <c r="O180" s="84">
        <f>+N103*N24*(1+$B$179)*$B$180</f>
        <v>17271.184381761737</v>
      </c>
      <c r="P180" s="84">
        <f>+O103*O24*(1+$B$179)*$B$180</f>
        <v>17539.648387695855</v>
      </c>
      <c r="Q180" s="84">
        <f>+P103*P24*(1+$B$179)*$B$180</f>
        <v>11024.921843694538</v>
      </c>
      <c r="R180" s="84">
        <f>+Q103*Q24*(1+$B$179)*$B$180</f>
        <v>11136.284690600543</v>
      </c>
      <c r="S180" s="84">
        <f>+R103*R24*(1+$B$179)*$B$180</f>
        <v>11136.284690600543</v>
      </c>
      <c r="T180" s="84">
        <f>+S103*S24*(1+$B$179)*$B$180</f>
        <v>7029.7797109415915</v>
      </c>
      <c r="U180" s="84">
        <f>+T103*T24*(1+$B$179)*$B$180</f>
        <v>7099.381490257847</v>
      </c>
      <c r="V180" s="84">
        <f>+U103*U24*(1+$B$179)*$B$180</f>
        <v>7168.9832695740979</v>
      </c>
      <c r="W180" s="84">
        <f>+V103*V24*(1+$B$179)*$B$180</f>
        <v>4963.601176381957</v>
      </c>
      <c r="X180" s="84">
        <f>+W103*W24*(1+$B$179)*$B$180</f>
        <v>5011.3281107702442</v>
      </c>
      <c r="Y180" s="84">
        <f>+X103*X24*(1+$B$179)*$B$180</f>
        <v>5011.3281107702442</v>
      </c>
      <c r="Z180" s="84">
        <f>+Y103*Y24*(1+$B$179)*$B$180</f>
        <v>4176.1067589752038</v>
      </c>
      <c r="AA180" s="84">
        <f>+Z103*Z24*(1+$B$179)*$B$180</f>
        <v>4176.1067589752038</v>
      </c>
      <c r="AB180" s="84">
        <f>+AA103*AA24*(1+$B$179)*$B$180</f>
        <v>4176.1067589752038</v>
      </c>
      <c r="AC180" s="84">
        <f>+AB103*AB24*(1+$B$179)*$B$180</f>
        <v>3340.8854071801634</v>
      </c>
      <c r="AD180" s="84">
        <f>+AC103*AC24*(1+$B$179)*$B$180</f>
        <v>3340.8854071801634</v>
      </c>
      <c r="AE180" s="84">
        <f>+AD103*AD24*(1+$B$179)*$B$180</f>
        <v>3340.8854071801634</v>
      </c>
      <c r="AF180" s="84">
        <f>+AE103*AE24*(1+$B$179)*$B$180</f>
        <v>2505.6640553851221</v>
      </c>
      <c r="AG180" s="84">
        <f>+AF103*AF24*(1+$B$179)*$B$180</f>
        <v>2505.6640553851221</v>
      </c>
      <c r="AH180" s="84">
        <f>+AG103*AG24*(1+$B$179)*$B$180</f>
        <v>2505.6640553851221</v>
      </c>
      <c r="AI180" s="84">
        <f>+AH103*AH24*(1+$B$179)*$B$180</f>
        <v>1252.832027692561</v>
      </c>
      <c r="AJ180" s="84">
        <f>+AI103*AI24*(1+$B$179)*$B$180</f>
        <v>1252.832027692561</v>
      </c>
      <c r="AK180" s="84">
        <f>+AJ103*AJ24*(1+$B$179)*$B$180</f>
        <v>1252.832027692561</v>
      </c>
      <c r="AL180" s="84">
        <f>+AK103*AK24*(1+$B$179)*$B$180</f>
        <v>626.41601384628052</v>
      </c>
      <c r="AM180" s="84">
        <f>+AL103*AL24*(1+$B$179)*$B$180</f>
        <v>626.41601384628052</v>
      </c>
      <c r="AN180" s="84">
        <f>+AM103*AM24*(1+$B$179)*$B$180</f>
        <v>626.41601384628052</v>
      </c>
      <c r="AO180" s="84">
        <f>+AN103*AN24*(1+$B$179)*$B$180</f>
        <v>0</v>
      </c>
      <c r="AP180" s="84">
        <f>+AO103*AO24*(1+$B$179)*$B$180</f>
        <v>0</v>
      </c>
      <c r="AQ180" s="84">
        <f>+AP103*AP24*(1+$B$179)*$B$180</f>
        <v>0</v>
      </c>
      <c r="AR180" s="84">
        <f>+AQ103*AQ24*(1+$B$179)*$B$180</f>
        <v>0</v>
      </c>
      <c r="AS180" s="84">
        <f>+AR103*AR24*(1+$B$179)*$B$180</f>
        <v>0</v>
      </c>
      <c r="AT180" s="84">
        <f>+AS103*AS24*(1+$B$179)*$B$180</f>
        <v>0</v>
      </c>
      <c r="AU180" s="84">
        <f>+AT103*AT24*(1+$B$179)*$B$180</f>
        <v>0</v>
      </c>
      <c r="AV180" s="84">
        <f>+AU103*AU24*(1+$B$179)*$B$180</f>
        <v>0</v>
      </c>
      <c r="AW180" s="84">
        <f>+AV103*AV24*(1+$B$179)*$B$180</f>
        <v>0</v>
      </c>
      <c r="AX180" s="84">
        <f>+AW103*AW24*(1+$B$179)*$B$180</f>
        <v>0</v>
      </c>
      <c r="AY180" s="84">
        <f>+AX103*AX24*(1+$B$179)*$B$180</f>
        <v>0</v>
      </c>
      <c r="AZ180" s="16"/>
      <c r="BA180" s="16"/>
      <c r="BB180" s="16"/>
      <c r="BC180" s="16"/>
      <c r="BD180" s="16"/>
      <c r="BE180" s="16"/>
      <c r="BF180" s="16"/>
      <c r="BG180" s="16"/>
      <c r="BH180" s="16"/>
      <c r="BI180" s="16"/>
      <c r="BJ180" s="16"/>
      <c r="BK180" s="16"/>
      <c r="BL180" s="16"/>
      <c r="BM180" s="16"/>
      <c r="BN180" s="16"/>
      <c r="BO180" s="16"/>
      <c r="BP180" s="16"/>
      <c r="BQ180" s="16"/>
    </row>
    <row r="181" spans="1:69" s="112" customFormat="1" ht="14" hidden="1" outlineLevel="1">
      <c r="A181" s="121" t="s">
        <v>1</v>
      </c>
      <c r="B181" s="670">
        <f t="shared" si="117"/>
        <v>0.2</v>
      </c>
      <c r="C181" s="633">
        <f>SUM(D181:BQ181)</f>
        <v>491468.10686339595</v>
      </c>
      <c r="D181" s="84"/>
      <c r="E181" s="84"/>
      <c r="F181" s="84"/>
      <c r="G181" s="84"/>
      <c r="H181" s="84"/>
      <c r="I181" s="84"/>
      <c r="J181" s="84"/>
      <c r="K181" s="84"/>
      <c r="L181" s="84">
        <f>+J103*J24*(1+$B$179)*$B$181/K125+K181</f>
        <v>1784.9097413506097</v>
      </c>
      <c r="M181" s="84">
        <f>+K103*K24*(1+$B$179)*$B$181/L125+L181</f>
        <v>3171.9737720102307</v>
      </c>
      <c r="N181" s="84">
        <f>+L103*L24*(1+$B$179)*$B$181/M125+M181</f>
        <v>4418.1770588155296</v>
      </c>
      <c r="O181" s="84">
        <f>+M103*M24*(1+$B$179)*$B$181/N125+N181</f>
        <v>5313.0570785959308</v>
      </c>
      <c r="P181" s="84">
        <f>+N103*N24*(1+$B$179)*$B$181/O125+O181</f>
        <v>6246.6346127452143</v>
      </c>
      <c r="Q181" s="84">
        <f>+O103*O24*(1+$B$179)*$B$181/P125+P181</f>
        <v>7221.0595231727621</v>
      </c>
      <c r="R181" s="84">
        <f>+P103*P24*(1+$B$179)*$B$181/Q125+Q181</f>
        <v>7851.0550570981641</v>
      </c>
      <c r="S181" s="84">
        <f>+Q103*Q24*(1+$B$179)*$B$181/R125+R181</f>
        <v>8506.1306271334906</v>
      </c>
      <c r="T181" s="84">
        <f>+R103*R24*(1+$B$179)*$B$181/S125+S181</f>
        <v>9181.0569720183721</v>
      </c>
      <c r="U181" s="84">
        <f>+S103*S24*(1+$B$179)*$B$181/T125+T181</f>
        <v>9620.418203952222</v>
      </c>
      <c r="V181" s="84">
        <f>+T103*T24*(1+$B$179)*$B$181/U125+U181</f>
        <v>10078.442816226921</v>
      </c>
      <c r="W181" s="84">
        <f>+U103*U24*(1+$B$179)*$B$181/V125+V181</f>
        <v>10556.375034198529</v>
      </c>
      <c r="X181" s="84">
        <f>+V103*V24*(1+$B$179)*$B$181/W125+W181</f>
        <v>10898.69235670763</v>
      </c>
      <c r="Y181" s="84">
        <f>+W103*W24*(1+$B$179)*$B$181/X125+X181</f>
        <v>11256.644364619791</v>
      </c>
      <c r="Z181" s="84">
        <f>+X103*X24*(1+$B$179)*$B$181/Y125+Y181</f>
        <v>11627.853854306477</v>
      </c>
      <c r="AA181" s="84">
        <f>+Y103*Y24*(1+$B$179)*$B$181/Z125+Z181</f>
        <v>11949.092835766109</v>
      </c>
      <c r="AB181" s="84">
        <f>+Z103*Z24*(1+$B$179)*$B$181/AA125+AA181</f>
        <v>12283.181376484124</v>
      </c>
      <c r="AC181" s="84">
        <f>+AA103*AA24*(1+$B$179)*$B$181/AB125+AB181</f>
        <v>12631.190273065391</v>
      </c>
      <c r="AD181" s="84">
        <f>+AB103*AB24*(1+$B$179)*$B$181/AC125+AC181</f>
        <v>12921.702047602797</v>
      </c>
      <c r="AE181" s="84">
        <f>+AC103*AC24*(1+$B$179)*$B$181/AD125+AD181</f>
        <v>13225.418902800993</v>
      </c>
      <c r="AF181" s="84">
        <f>+AD103*AD24*(1+$B$179)*$B$181/AE125+AE181</f>
        <v>13543.598465389579</v>
      </c>
      <c r="AG181" s="84">
        <f>+AE103*AE24*(1+$B$179)*$B$181/AF125+AF181</f>
        <v>13794.164870928091</v>
      </c>
      <c r="AH181" s="84">
        <f>+AF103*AF24*(1+$B$179)*$B$181/AG125+AG181</f>
        <v>14057.918982021261</v>
      </c>
      <c r="AI181" s="84">
        <f>+AG103*AG24*(1+$B$179)*$B$181/AH125+AH181</f>
        <v>14336.326099286274</v>
      </c>
      <c r="AJ181" s="84">
        <f>+AH103*AH24*(1+$B$179)*$B$181/AI125+AI181</f>
        <v>14483.718102544222</v>
      </c>
      <c r="AK181" s="84">
        <f>+AI103*AI24*(1+$B$179)*$B$181/AJ125+AJ181</f>
        <v>14640.322106005793</v>
      </c>
      <c r="AL181" s="84">
        <f>+AJ103*AJ24*(1+$B$179)*$B$181/AK125+AK181</f>
        <v>14807.366376364802</v>
      </c>
      <c r="AM181" s="84">
        <f>+AK103*AK24*(1+$B$179)*$B$181/AL125+AL181</f>
        <v>14896.854378342841</v>
      </c>
      <c r="AN181" s="84">
        <f>+AL103*AL24*(1+$B$179)*$B$181/AM125+AM181</f>
        <v>14993.22607278073</v>
      </c>
      <c r="AO181" s="84">
        <f>+AM103*AM24*(1+$B$179)*$B$181/AN125+AN181</f>
        <v>15097.62874175511</v>
      </c>
      <c r="AP181" s="84">
        <f>+AN103*AN24*(1+$B$179)*$B$181/AO125+AO181</f>
        <v>15097.62874175511</v>
      </c>
      <c r="AQ181" s="84">
        <f>+AO103*AO24*(1+$B$179)*$B$181/AP125+AP181</f>
        <v>15097.62874175511</v>
      </c>
      <c r="AR181" s="84">
        <f>+AP103*AP24*(1+$B$179)*$B$181/AQ125+AQ181</f>
        <v>15097.62874175511</v>
      </c>
      <c r="AS181" s="84">
        <f>+AQ103*AQ24*(1+$B$179)*$B$181/AR125+AR181</f>
        <v>15097.62874175511</v>
      </c>
      <c r="AT181" s="84">
        <f>+AR103*AR24*(1+$B$179)*$B$181/AS125+AS181</f>
        <v>15097.62874175511</v>
      </c>
      <c r="AU181" s="84">
        <f>+AS103*AS24*(1+$B$179)*$B$181/AT125+AT181</f>
        <v>15097.62874175511</v>
      </c>
      <c r="AV181" s="84">
        <f>+AT103*AT24*(1+$B$179)*$B$181/AU125+AU181</f>
        <v>15097.62874175511</v>
      </c>
      <c r="AW181" s="84">
        <f>+AU103*AU24*(1+$B$179)*$B$181/AV125+AV181</f>
        <v>15097.62874175511</v>
      </c>
      <c r="AX181" s="84">
        <f>+AV103*AV24*(1+$B$179)*$B$181/AW125+AW181</f>
        <v>15097.62874175511</v>
      </c>
      <c r="AY181" s="84">
        <f>+AW103*AW24*(1+$B$179)*$B$181/AX125+AX181</f>
        <v>15097.62874175511</v>
      </c>
      <c r="AZ181" s="84">
        <f>+AX103*AX24*(1+$B$179)*$B$181/AY125+AY181</f>
        <v>15097.62874175511</v>
      </c>
      <c r="BA181" s="84"/>
      <c r="BB181" s="16"/>
      <c r="BC181" s="16"/>
      <c r="BD181" s="16"/>
      <c r="BE181" s="16"/>
      <c r="BF181" s="16"/>
      <c r="BG181" s="16"/>
      <c r="BH181" s="16"/>
      <c r="BI181" s="16"/>
      <c r="BJ181" s="16"/>
      <c r="BK181" s="16"/>
      <c r="BL181" s="16"/>
      <c r="BM181" s="16"/>
      <c r="BN181" s="16"/>
      <c r="BO181" s="16"/>
      <c r="BP181" s="16"/>
      <c r="BQ181" s="16"/>
    </row>
    <row r="182" spans="1:69" s="112" customFormat="1" ht="14" hidden="1" outlineLevel="1">
      <c r="A182" s="121" t="s">
        <v>31</v>
      </c>
      <c r="B182" s="670">
        <f t="shared" si="117"/>
        <v>0.7</v>
      </c>
      <c r="C182" s="633">
        <f>SUM(D182:BQ182)</f>
        <v>1720138.3740218859</v>
      </c>
      <c r="D182" s="84"/>
      <c r="E182" s="84"/>
      <c r="F182" s="84"/>
      <c r="G182" s="84"/>
      <c r="H182" s="84"/>
      <c r="I182" s="84"/>
      <c r="J182" s="84"/>
      <c r="K182" s="84"/>
      <c r="L182" s="84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  <c r="AU182" s="16"/>
      <c r="AV182" s="16"/>
      <c r="AW182" s="16"/>
      <c r="AX182" s="16"/>
      <c r="AY182" s="16"/>
      <c r="AZ182" s="16">
        <f>SUMPRODUCT($D$103:$AX$103,$D$24:$AX$24)*(1+$B$179)*$B$182/3</f>
        <v>573379.45800729527</v>
      </c>
      <c r="BA182" s="16">
        <f>SUMPRODUCT($D$103:$AX$103,$D$24:$AX$24)*(1+$B$179)*$B$182/3</f>
        <v>573379.45800729527</v>
      </c>
      <c r="BB182" s="16">
        <f>SUMPRODUCT($D$103:$AX$103,$D$24:$AX$24)*(1+$B$179)*$B$182/3</f>
        <v>573379.45800729527</v>
      </c>
      <c r="BC182" s="16"/>
      <c r="BD182" s="16"/>
      <c r="BE182" s="16"/>
      <c r="BF182" s="16"/>
      <c r="BG182" s="16"/>
      <c r="BH182" s="16"/>
      <c r="BI182" s="16"/>
      <c r="BJ182" s="16"/>
      <c r="BK182" s="16"/>
      <c r="BL182" s="16"/>
      <c r="BM182" s="16"/>
      <c r="BN182" s="16"/>
      <c r="BO182" s="16"/>
      <c r="BP182" s="16"/>
      <c r="BQ182" s="16"/>
    </row>
    <row r="183" spans="1:69" s="112" customFormat="1" ht="14" hidden="1" outlineLevel="1">
      <c r="A183" s="121"/>
      <c r="B183" s="670"/>
      <c r="C183" s="633"/>
      <c r="D183" s="84"/>
      <c r="E183" s="84"/>
      <c r="F183" s="84"/>
      <c r="G183" s="84"/>
      <c r="H183" s="84"/>
      <c r="I183" s="84"/>
      <c r="J183" s="84"/>
      <c r="K183" s="84"/>
      <c r="L183" s="84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  <c r="AU183" s="16"/>
      <c r="AV183" s="16"/>
      <c r="AW183" s="16"/>
      <c r="AX183" s="16"/>
      <c r="AY183" s="16"/>
      <c r="AZ183" s="16"/>
      <c r="BA183" s="16"/>
      <c r="BB183" s="16"/>
      <c r="BC183" s="16"/>
      <c r="BD183" s="16"/>
      <c r="BE183" s="16"/>
      <c r="BF183" s="16"/>
      <c r="BG183" s="16"/>
      <c r="BH183" s="16"/>
      <c r="BI183" s="16"/>
      <c r="BJ183" s="16"/>
      <c r="BK183" s="16"/>
      <c r="BL183" s="16"/>
      <c r="BM183" s="16"/>
      <c r="BN183" s="16"/>
      <c r="BO183" s="16"/>
      <c r="BP183" s="16"/>
      <c r="BQ183" s="16"/>
    </row>
    <row r="184" spans="1:69" s="112" customFormat="1" ht="14" hidden="1" outlineLevel="1">
      <c r="A184" s="232" t="s">
        <v>139</v>
      </c>
      <c r="B184" s="670"/>
      <c r="C184" s="633"/>
      <c r="D184" s="84"/>
      <c r="E184" s="84"/>
      <c r="F184" s="84"/>
      <c r="G184" s="84"/>
      <c r="H184" s="84"/>
      <c r="I184" s="84"/>
      <c r="J184" s="84"/>
      <c r="K184" s="84"/>
      <c r="L184" s="84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  <c r="AU184" s="16"/>
      <c r="AV184" s="16"/>
      <c r="AW184" s="16"/>
      <c r="AX184" s="16"/>
      <c r="AY184" s="16"/>
      <c r="BQ184" s="16"/>
    </row>
    <row r="185" spans="1:69" s="112" customFormat="1" ht="14" hidden="1" outlineLevel="1">
      <c r="A185" s="121" t="str">
        <f>+A170</f>
        <v>Boleto</v>
      </c>
      <c r="B185" s="670">
        <f t="shared" si="117"/>
        <v>0.3</v>
      </c>
      <c r="C185" s="633">
        <f>SUM(D185:BQ185)</f>
        <v>0</v>
      </c>
      <c r="D185" s="84"/>
      <c r="E185" s="84"/>
      <c r="F185" s="84"/>
      <c r="G185" s="84"/>
      <c r="H185" s="84"/>
      <c r="I185" s="84"/>
      <c r="J185" s="84"/>
      <c r="K185" s="84"/>
      <c r="L185" s="84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  <c r="AU185" s="16"/>
      <c r="AV185" s="16"/>
      <c r="AW185" s="16"/>
      <c r="AX185" s="16"/>
      <c r="AY185" s="16"/>
      <c r="AZ185" s="16">
        <f>+AY103*$B$185</f>
        <v>0</v>
      </c>
      <c r="BA185" s="16">
        <f>+AZ103*$B$185</f>
        <v>0</v>
      </c>
      <c r="BB185" s="16">
        <f>+BA103*$B$185</f>
        <v>0</v>
      </c>
      <c r="BC185" s="16">
        <f>+BB103*$B$185</f>
        <v>0</v>
      </c>
      <c r="BD185" s="16">
        <f>+BC103*$B$185</f>
        <v>0</v>
      </c>
      <c r="BE185" s="16">
        <f>+BD103*$B$185</f>
        <v>0</v>
      </c>
      <c r="BF185" s="16">
        <f>+BE103*$B$185</f>
        <v>0</v>
      </c>
      <c r="BG185" s="16">
        <f>+BF103*$B$185</f>
        <v>0</v>
      </c>
      <c r="BH185" s="16">
        <f>+BG103*$B$185</f>
        <v>0</v>
      </c>
      <c r="BI185" s="16">
        <f>+BH103*$B$185</f>
        <v>0</v>
      </c>
      <c r="BJ185" s="16">
        <f>+BI103*$B$185</f>
        <v>0</v>
      </c>
      <c r="BK185" s="16">
        <f>+BJ103*$B$185</f>
        <v>0</v>
      </c>
      <c r="BL185" s="16">
        <f>+BK103*$B$185</f>
        <v>0</v>
      </c>
      <c r="BM185" s="16">
        <f>+BL103*$B$185</f>
        <v>0</v>
      </c>
      <c r="BN185" s="16">
        <f>+BM103*$B$185</f>
        <v>0</v>
      </c>
      <c r="BO185" s="16">
        <f>+BN103*$B$185</f>
        <v>0</v>
      </c>
      <c r="BP185" s="16">
        <f>+BO103*$B$185</f>
        <v>0</v>
      </c>
      <c r="BQ185" s="16"/>
    </row>
    <row r="186" spans="1:69" s="112" customFormat="1" ht="14" hidden="1" outlineLevel="1">
      <c r="A186" s="121" t="str">
        <f>+A172</f>
        <v>Posesión</v>
      </c>
      <c r="B186" s="670">
        <f t="shared" si="117"/>
        <v>0.7</v>
      </c>
      <c r="C186" s="633">
        <f>SUM(D186:BQ186)</f>
        <v>0</v>
      </c>
      <c r="D186" s="84"/>
      <c r="E186" s="84"/>
      <c r="F186" s="84"/>
      <c r="G186" s="84"/>
      <c r="H186" s="84"/>
      <c r="I186" s="84"/>
      <c r="J186" s="84"/>
      <c r="K186" s="84"/>
      <c r="L186" s="84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  <c r="AU186" s="16"/>
      <c r="AV186" s="16"/>
      <c r="AW186" s="16"/>
      <c r="AX186" s="16"/>
      <c r="AY186" s="16"/>
      <c r="AZ186" s="16"/>
      <c r="BA186" s="16">
        <f>+AY103*$B$186</f>
        <v>0</v>
      </c>
      <c r="BB186" s="16">
        <f>+AZ103*$B$186</f>
        <v>0</v>
      </c>
      <c r="BC186" s="16">
        <f>+BA103*$B$186</f>
        <v>0</v>
      </c>
      <c r="BD186" s="16">
        <f>+BB103*$B$186</f>
        <v>0</v>
      </c>
      <c r="BE186" s="16">
        <f>+BC103*$B$186</f>
        <v>0</v>
      </c>
      <c r="BF186" s="16">
        <f>+BD103*$B$186</f>
        <v>0</v>
      </c>
      <c r="BG186" s="16">
        <f>+BE103*$B$186</f>
        <v>0</v>
      </c>
      <c r="BH186" s="16">
        <f>+BF103*$B$186</f>
        <v>0</v>
      </c>
      <c r="BI186" s="16">
        <f>+BG103*$B$186</f>
        <v>0</v>
      </c>
      <c r="BJ186" s="16">
        <f>+BH103*$B$186</f>
        <v>0</v>
      </c>
      <c r="BK186" s="16">
        <f>+BI103*$B$186</f>
        <v>0</v>
      </c>
      <c r="BL186" s="16">
        <f>+BJ103*$B$186</f>
        <v>0</v>
      </c>
      <c r="BM186" s="16">
        <f>+BK103*$B$186</f>
        <v>0</v>
      </c>
      <c r="BN186" s="16">
        <f>+BL103*$B$186</f>
        <v>0</v>
      </c>
      <c r="BO186" s="16">
        <f>+BM103*$B$186</f>
        <v>0</v>
      </c>
      <c r="BP186" s="16">
        <f>+BN103*$B$186</f>
        <v>0</v>
      </c>
      <c r="BQ186" s="16">
        <f>+BO103*$B$186</f>
        <v>0</v>
      </c>
    </row>
    <row r="187" spans="1:69" s="112" customFormat="1" ht="14" collapsed="1">
      <c r="A187" s="233" t="s">
        <v>234</v>
      </c>
      <c r="B187" s="671"/>
      <c r="C187" s="667">
        <f>SUM(D187:BQ205)</f>
        <v>4544604.1362219611</v>
      </c>
      <c r="D187" s="82"/>
      <c r="E187" s="82"/>
      <c r="F187" s="82"/>
      <c r="G187" s="82"/>
      <c r="H187" s="82"/>
      <c r="I187" s="82"/>
      <c r="J187" s="82"/>
      <c r="K187" s="82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82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</row>
    <row r="188" spans="1:69" s="112" customFormat="1" ht="14" hidden="1" outlineLevel="1">
      <c r="A188" s="232" t="s">
        <v>269</v>
      </c>
      <c r="B188" s="615">
        <f>+B169</f>
        <v>0</v>
      </c>
      <c r="C188" s="633"/>
      <c r="D188" s="84"/>
      <c r="E188" s="84"/>
      <c r="F188" s="84"/>
      <c r="G188" s="84"/>
      <c r="H188" s="84"/>
      <c r="I188" s="84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6"/>
      <c r="BE188" s="16"/>
      <c r="BF188" s="16"/>
      <c r="BG188" s="16"/>
      <c r="BH188" s="16"/>
      <c r="BI188" s="16"/>
      <c r="BJ188" s="16"/>
      <c r="BK188" s="16"/>
      <c r="BL188" s="16"/>
      <c r="BM188" s="16"/>
      <c r="BN188" s="16"/>
      <c r="BO188" s="16"/>
      <c r="BP188" s="16"/>
      <c r="BQ188" s="16"/>
    </row>
    <row r="189" spans="1:69" s="112" customFormat="1" ht="14" hidden="1" outlineLevel="1">
      <c r="A189" s="121" t="s">
        <v>119</v>
      </c>
      <c r="B189" s="670">
        <f t="shared" ref="B189:B205" si="118">+B170</f>
        <v>0.7</v>
      </c>
      <c r="C189" s="633">
        <f>SUM(D189:BQ189)</f>
        <v>78445.034347746114</v>
      </c>
      <c r="D189" s="84"/>
      <c r="E189" s="84"/>
      <c r="F189" s="84"/>
      <c r="G189" s="84"/>
      <c r="H189" s="84"/>
      <c r="I189" s="84"/>
      <c r="J189" s="84"/>
      <c r="K189" s="16">
        <f>+J104*J22*(1+$B$188)*$B$189</f>
        <v>29265.787347902038</v>
      </c>
      <c r="L189" s="16">
        <f>+K104*K22*(1+$B$188)*$B$189</f>
        <v>22187.920299088768</v>
      </c>
      <c r="M189" s="16">
        <f>+L104*L22*(1+$B$188)*$B$189</f>
        <v>19436.300075617542</v>
      </c>
      <c r="N189" s="16">
        <f>+M104*M22*(1+$B$188)*$B$189</f>
        <v>7555.0266251377543</v>
      </c>
      <c r="O189" s="16">
        <f>+N104*N22*(1+$B$188)*$B$189</f>
        <v>0</v>
      </c>
      <c r="P189" s="16">
        <f>+O104*O22*(1+$B$188)*$B$189</f>
        <v>0</v>
      </c>
      <c r="Q189" s="16">
        <f>+P104*P22*(1+$B$188)*$B$189</f>
        <v>0</v>
      </c>
      <c r="R189" s="16">
        <f>+Q104*Q22*(1+$B$188)*$B$189</f>
        <v>0</v>
      </c>
      <c r="S189" s="16">
        <f>+R104*R22*(1+$B$188)*$B$189</f>
        <v>0</v>
      </c>
      <c r="T189" s="16">
        <f>+S104*S22*(1+$B$188)*$B$189</f>
        <v>0</v>
      </c>
      <c r="U189" s="16">
        <f>+T104*T22*(1+$B$188)*$B$189</f>
        <v>0</v>
      </c>
      <c r="V189" s="16">
        <f>+U104*U22*(1+$B$188)*$B$189</f>
        <v>0</v>
      </c>
      <c r="W189" s="16">
        <f>+V104*V22*(1+$B$188)*$B$189</f>
        <v>0</v>
      </c>
      <c r="X189" s="16">
        <f>+W104*W22*(1+$B$188)*$B$189</f>
        <v>0</v>
      </c>
      <c r="Y189" s="16">
        <f>+X104*X22*(1+$B$188)*$B$189</f>
        <v>0</v>
      </c>
      <c r="Z189" s="16">
        <f>+Y104*Y22*(1+$B$188)*$B$189</f>
        <v>0</v>
      </c>
      <c r="AA189" s="16">
        <f>+Z104*Z22*(1+$B$188)*$B$189</f>
        <v>0</v>
      </c>
      <c r="AB189" s="16">
        <f>+AA104*AA22*(1+$B$188)*$B$189</f>
        <v>0</v>
      </c>
      <c r="AC189" s="16">
        <f>+AB104*AB22*(1+$B$188)*$B$189</f>
        <v>0</v>
      </c>
      <c r="AD189" s="16">
        <f>+AC104*AC22*(1+$B$188)*$B$189</f>
        <v>0</v>
      </c>
      <c r="AE189" s="16">
        <f>+AD104*AD22*(1+$B$188)*$B$189</f>
        <v>0</v>
      </c>
      <c r="AF189" s="16">
        <f>+AE104*AE22*(1+$B$188)*$B$189</f>
        <v>0</v>
      </c>
      <c r="AG189" s="16">
        <f>+AF104*AF22*(1+$B$188)*$B$189</f>
        <v>0</v>
      </c>
      <c r="AH189" s="16">
        <f>+AG104*AG22*(1+$B$188)*$B$189</f>
        <v>0</v>
      </c>
      <c r="AI189" s="16">
        <f>+AH104*AH22*(1+$B$188)*$B$189</f>
        <v>0</v>
      </c>
      <c r="AJ189" s="16">
        <f>+AI104*AI22*(1+$B$188)*$B$189</f>
        <v>0</v>
      </c>
      <c r="AK189" s="16">
        <f>+AJ104*AJ22*(1+$B$188)*$B$189</f>
        <v>0</v>
      </c>
      <c r="AL189" s="16">
        <f>+AK104*AK22*(1+$B$188)*$B$189</f>
        <v>0</v>
      </c>
      <c r="AM189" s="16">
        <f>+AL104*AL22*(1+$B$188)*$B$189</f>
        <v>0</v>
      </c>
      <c r="AN189" s="16">
        <f>+AM104*AM22*(1+$B$188)*$B$189</f>
        <v>0</v>
      </c>
      <c r="AO189" s="16">
        <f>+AN104*AN22*(1+$B$188)*$B$189</f>
        <v>0</v>
      </c>
      <c r="AP189" s="16">
        <f>+AO104*AO22*(1+$B$188)*$B$189</f>
        <v>0</v>
      </c>
      <c r="AQ189" s="16">
        <f>+AP104*AP22*(1+$B$188)*$B$189</f>
        <v>0</v>
      </c>
      <c r="AR189" s="16">
        <f>+AQ104*AQ22*(1+$B$188)*$B$189</f>
        <v>0</v>
      </c>
      <c r="AS189" s="16">
        <f>+AR104*AR22*(1+$B$188)*$B$189</f>
        <v>0</v>
      </c>
      <c r="AT189" s="16">
        <f>+AS104*AS22*(1+$B$188)*$B$189</f>
        <v>0</v>
      </c>
      <c r="AU189" s="16">
        <f>+AT104*AT22*(1+$B$188)*$B$189</f>
        <v>0</v>
      </c>
      <c r="AV189" s="16">
        <f>+AU104*AU22*(1+$B$188)*$B$189</f>
        <v>0</v>
      </c>
      <c r="AW189" s="16">
        <f>+AV104*AV22*(1+$B$188)*$B$189</f>
        <v>0</v>
      </c>
      <c r="AX189" s="16">
        <f>+AW104*AW22*(1+$B$188)*$B$189</f>
        <v>0</v>
      </c>
      <c r="AY189" s="16">
        <f>+AX104*AX22*(1+$B$188)*$B$189</f>
        <v>0</v>
      </c>
      <c r="AZ189" s="16">
        <f>+AY104*AY22*(1+$B$188)*$B$189</f>
        <v>0</v>
      </c>
      <c r="BA189" s="16">
        <f>+AZ104*AZ22*(1+$B$188)*$B$189</f>
        <v>0</v>
      </c>
      <c r="BB189" s="16">
        <f>+BA104*BA22*(1+$B$188)*$B$189</f>
        <v>0</v>
      </c>
      <c r="BC189" s="16">
        <f>+BB104*BB22*(1+$B$188)*$B$189</f>
        <v>0</v>
      </c>
      <c r="BD189" s="16">
        <f>+BC104*BC22*(1+$B$188)*$B$189</f>
        <v>0</v>
      </c>
      <c r="BE189" s="16">
        <f>+BD104*BD22*(1+$B$188)*$B$189</f>
        <v>0</v>
      </c>
      <c r="BF189" s="16"/>
      <c r="BG189" s="16"/>
      <c r="BH189" s="16"/>
      <c r="BI189" s="16"/>
      <c r="BJ189" s="16"/>
      <c r="BK189" s="16"/>
      <c r="BL189" s="16"/>
      <c r="BM189" s="16"/>
      <c r="BN189" s="16"/>
      <c r="BO189" s="16"/>
      <c r="BP189" s="16"/>
      <c r="BQ189" s="16"/>
    </row>
    <row r="190" spans="1:69" s="112" customFormat="1" ht="14" hidden="1" outlineLevel="1">
      <c r="A190" s="121" t="s">
        <v>1</v>
      </c>
      <c r="B190" s="670">
        <f t="shared" si="118"/>
        <v>0</v>
      </c>
      <c r="C190" s="633">
        <f>SUM(D190:BQ190)</f>
        <v>0</v>
      </c>
      <c r="D190" s="84"/>
      <c r="E190" s="84"/>
      <c r="F190" s="84"/>
      <c r="G190" s="84"/>
      <c r="H190" s="84"/>
      <c r="I190" s="84"/>
      <c r="J190" s="84"/>
      <c r="K190" s="84"/>
      <c r="L190" s="16">
        <f>+J104*J22*(1+$B$188)*$B$190/K126+K190</f>
        <v>0</v>
      </c>
      <c r="M190" s="16">
        <f>+K104*K22*(1+$B$188)*$B$190/L126+L190</f>
        <v>0</v>
      </c>
      <c r="N190" s="16">
        <f>+L104*L22*(1+$B$188)*$B$190/M126+M190</f>
        <v>0</v>
      </c>
      <c r="O190" s="16">
        <f>+M104*M22*(1+$B$188)*$B$190/N126+N190</f>
        <v>0</v>
      </c>
      <c r="P190" s="16">
        <f>+N104*N22*(1+$B$188)*$B$190/O126+O190</f>
        <v>0</v>
      </c>
      <c r="Q190" s="16">
        <f>+O104*O22*(1+$B$188)*$B$190/P126+P190</f>
        <v>0</v>
      </c>
      <c r="R190" s="16">
        <f>+P104*P22*(1+$B$188)*$B$190/Q126+Q190</f>
        <v>0</v>
      </c>
      <c r="S190" s="16">
        <f>+Q104*Q22*(1+$B$188)*$B$190/R126+R190</f>
        <v>0</v>
      </c>
      <c r="T190" s="16">
        <f>+R104*R22*(1+$B$188)*$B$190/S126+S190</f>
        <v>0</v>
      </c>
      <c r="U190" s="16">
        <f>+S104*S22*(1+$B$188)*$B$190/T126+T190</f>
        <v>0</v>
      </c>
      <c r="V190" s="16">
        <f>+T104*T22*(1+$B$188)*$B$190/U126+U190</f>
        <v>0</v>
      </c>
      <c r="W190" s="16">
        <f>+U104*U22*(1+$B$188)*$B$190/V126+V190</f>
        <v>0</v>
      </c>
      <c r="X190" s="16">
        <f>+V104*V22*(1+$B$188)*$B$190/W126+W190</f>
        <v>0</v>
      </c>
      <c r="Y190" s="16">
        <f>+W104*W22*(1+$B$188)*$B$190/X126+X190</f>
        <v>0</v>
      </c>
      <c r="Z190" s="16">
        <f>+X104*X22*(1+$B$188)*$B$190/Y126+Y190</f>
        <v>0</v>
      </c>
      <c r="AA190" s="16">
        <f>+Y104*Y22*(1+$B$188)*$B$190/Z126+Z190</f>
        <v>0</v>
      </c>
      <c r="AB190" s="16">
        <f>+Z104*Z22*(1+$B$188)*$B$190/AA126+AA190</f>
        <v>0</v>
      </c>
      <c r="AC190" s="16">
        <f>+AA104*AA22*(1+$B$188)*$B$190/AB126+AB190</f>
        <v>0</v>
      </c>
      <c r="AD190" s="16">
        <f>+AB104*AB22*(1+$B$188)*$B$190/AC126+AC190</f>
        <v>0</v>
      </c>
      <c r="AE190" s="16">
        <f>+AC104*AC22*(1+$B$188)*$B$190/AD126+AD190</f>
        <v>0</v>
      </c>
      <c r="AF190" s="16">
        <f>+AD104*AD22*(1+$B$188)*$B$190/AE126+AE190</f>
        <v>0</v>
      </c>
      <c r="AG190" s="16">
        <f>+AE104*AE22*(1+$B$188)*$B$190/AF126+AF190</f>
        <v>0</v>
      </c>
      <c r="AH190" s="16">
        <f>+AF104*AF22*(1+$B$188)*$B$190/AG126+AG190</f>
        <v>0</v>
      </c>
      <c r="AI190" s="16">
        <f>+AG104*AG22*(1+$B$188)*$B$190/AH126+AH190</f>
        <v>0</v>
      </c>
      <c r="AJ190" s="16">
        <f>+AH104*AH22*(1+$B$188)*$B$190/AI126+AI190</f>
        <v>0</v>
      </c>
      <c r="AK190" s="16">
        <f>+AI104*AI22*(1+$B$188)*$B$190/AJ126+AJ190</f>
        <v>0</v>
      </c>
      <c r="AL190" s="16">
        <f>+AJ104*AJ22*(1+$B$188)*$B$190/AK126+AK190</f>
        <v>0</v>
      </c>
      <c r="AM190" s="16">
        <f>+AK104*AK22*(1+$B$188)*$B$190/AL126+AL190</f>
        <v>0</v>
      </c>
      <c r="AN190" s="16">
        <f>+AL104*AL22*(1+$B$188)*$B$190/AM126+AM190</f>
        <v>0</v>
      </c>
      <c r="AO190" s="16">
        <f>+AM104*AM22*(1+$B$188)*$B$190/AN126+AN190</f>
        <v>0</v>
      </c>
      <c r="AP190" s="16">
        <f>+AN104*AN22*(1+$B$188)*$B$190/AO126+AO190</f>
        <v>0</v>
      </c>
      <c r="AQ190" s="16">
        <f>+AO104*AO22*(1+$B$188)*$B$190/AP126+AP190</f>
        <v>0</v>
      </c>
      <c r="AR190" s="16">
        <f>+AP104*AP22*(1+$B$188)*$B$190/AQ126+AQ190</f>
        <v>0</v>
      </c>
      <c r="AS190" s="16">
        <f>+AQ104*AQ22*(1+$B$188)*$B$190/AR126+AR190</f>
        <v>0</v>
      </c>
      <c r="AT190" s="16">
        <f>+AR104*AR22*(1+$B$188)*$B$190/AS126+AS190</f>
        <v>0</v>
      </c>
      <c r="AU190" s="16">
        <f>+AS104*AS22*(1+$B$188)*$B$190/AT126+AT190</f>
        <v>0</v>
      </c>
      <c r="AV190" s="16">
        <f>+AT104*AT22*(1+$B$188)*$B$190/AU126+AU190</f>
        <v>0</v>
      </c>
      <c r="AW190" s="16">
        <f>+AU104*AU22*(1+$B$188)*$B$190/AV126+AV190</f>
        <v>0</v>
      </c>
      <c r="AX190" s="16">
        <f>+AV104*AV22*(1+$B$188)*$B$190/AW126+AW190</f>
        <v>0</v>
      </c>
      <c r="AY190" s="16">
        <f>+AW104*AW22*(1+$B$188)*$B$190/AX126+AX190</f>
        <v>0</v>
      </c>
      <c r="AZ190" s="16">
        <f>+AX104*AX22*(1+$B$188)*$B$190/AY126+AY190</f>
        <v>0</v>
      </c>
      <c r="BA190" s="16">
        <f>+AY104*AY22*(1+$B$188)*$B$190/AZ126+AZ190</f>
        <v>0</v>
      </c>
      <c r="BB190" s="16">
        <f>+AZ104*AZ22*(1+$B$188)*$B$190/BA126+BA190</f>
        <v>0</v>
      </c>
      <c r="BC190" s="16">
        <f>+BA104*BA22*(1+$B$188)*$B$190/BB126+BB190</f>
        <v>0</v>
      </c>
      <c r="BD190" s="16">
        <f>+BB104*BB22*(1+$B$188)*$B$190/BC126+BC190</f>
        <v>0</v>
      </c>
      <c r="BE190" s="16">
        <f>+BC104*BC22*(1+$B$188)*$B$190/BD126+BD190</f>
        <v>0</v>
      </c>
      <c r="BF190" s="16">
        <f>+BD104*BD22*(1+$B$188)*$B$190/BE126+BE190</f>
        <v>0</v>
      </c>
      <c r="BG190" s="16"/>
      <c r="BH190" s="16"/>
      <c r="BI190" s="16"/>
      <c r="BJ190" s="16"/>
      <c r="BK190" s="16"/>
      <c r="BL190" s="16"/>
      <c r="BM190" s="16"/>
      <c r="BN190" s="16"/>
      <c r="BO190" s="16"/>
      <c r="BP190" s="16"/>
      <c r="BQ190" s="16"/>
    </row>
    <row r="191" spans="1:69" s="112" customFormat="1" ht="14" hidden="1" outlineLevel="1">
      <c r="A191" s="121" t="s">
        <v>31</v>
      </c>
      <c r="B191" s="670">
        <f t="shared" si="118"/>
        <v>0.3</v>
      </c>
      <c r="C191" s="633">
        <f>SUM(D191:BQ191)</f>
        <v>33619.300434748329</v>
      </c>
      <c r="D191" s="84"/>
      <c r="E191" s="84"/>
      <c r="F191" s="84"/>
      <c r="G191" s="84"/>
      <c r="H191" s="84"/>
      <c r="I191" s="84"/>
      <c r="J191" s="84"/>
      <c r="K191" s="84"/>
      <c r="L191" s="84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E191" s="16"/>
      <c r="BF191" s="16">
        <f>SUMPRODUCT($D$104:$BD$104,$D$22:$BD$22)*(1+$B$188)*$B$191/3</f>
        <v>11206.433478249442</v>
      </c>
      <c r="BG191" s="16">
        <f>SUMPRODUCT($D$104:$BD$104,$D$22:$BD$22)*(1+$B$188)*$B$191/3</f>
        <v>11206.433478249442</v>
      </c>
      <c r="BH191" s="16">
        <f>SUMPRODUCT($D$104:$BD$104,$D$22:$BD$22)*(1+$B$188)*$B$191/3</f>
        <v>11206.433478249442</v>
      </c>
      <c r="BI191" s="16"/>
      <c r="BJ191" s="16"/>
      <c r="BK191" s="16"/>
      <c r="BL191" s="16"/>
      <c r="BM191" s="16"/>
      <c r="BN191" s="16"/>
      <c r="BO191" s="16"/>
      <c r="BP191" s="16"/>
      <c r="BQ191" s="16"/>
    </row>
    <row r="192" spans="1:69" s="112" customFormat="1" ht="14" hidden="1" outlineLevel="1">
      <c r="A192" s="121"/>
      <c r="B192" s="670"/>
      <c r="C192" s="633"/>
      <c r="D192" s="84"/>
      <c r="E192" s="84"/>
      <c r="F192" s="84"/>
      <c r="G192" s="84"/>
      <c r="H192" s="84"/>
      <c r="I192" s="84"/>
      <c r="J192" s="84"/>
      <c r="K192" s="84"/>
      <c r="L192" s="84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E192" s="16"/>
      <c r="BF192" s="16"/>
      <c r="BG192" s="16"/>
      <c r="BH192" s="16"/>
      <c r="BI192" s="16"/>
      <c r="BJ192" s="16"/>
      <c r="BK192" s="16"/>
      <c r="BL192" s="16"/>
      <c r="BM192" s="16"/>
      <c r="BN192" s="16"/>
      <c r="BO192" s="16"/>
      <c r="BP192" s="16"/>
      <c r="BQ192" s="16"/>
    </row>
    <row r="193" spans="1:69" s="112" customFormat="1" ht="14" hidden="1" outlineLevel="1">
      <c r="A193" s="232" t="s">
        <v>270</v>
      </c>
      <c r="B193" s="615">
        <f t="shared" si="118"/>
        <v>0</v>
      </c>
      <c r="C193" s="633"/>
      <c r="D193" s="84"/>
      <c r="E193" s="84"/>
      <c r="F193" s="84"/>
      <c r="G193" s="84"/>
      <c r="H193" s="84"/>
      <c r="I193" s="84"/>
      <c r="J193" s="84"/>
      <c r="K193" s="84"/>
      <c r="L193" s="84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  <c r="BC193" s="16"/>
      <c r="BD193" s="16"/>
      <c r="BE193" s="16"/>
      <c r="BF193" s="16"/>
      <c r="BG193" s="16"/>
      <c r="BH193" s="16"/>
      <c r="BI193" s="16"/>
      <c r="BJ193" s="16"/>
      <c r="BK193" s="16"/>
      <c r="BL193" s="16"/>
      <c r="BM193" s="16"/>
      <c r="BN193" s="16"/>
      <c r="BO193" s="16"/>
      <c r="BP193" s="16"/>
      <c r="BQ193" s="16"/>
    </row>
    <row r="194" spans="1:69" s="112" customFormat="1" ht="14" hidden="1" outlineLevel="1">
      <c r="A194" s="121" t="s">
        <v>119</v>
      </c>
      <c r="B194" s="670">
        <f t="shared" si="118"/>
        <v>0.3</v>
      </c>
      <c r="C194" s="633">
        <f>SUM(D194:BQ194)</f>
        <v>908600.44867171743</v>
      </c>
      <c r="D194" s="84"/>
      <c r="E194" s="84"/>
      <c r="F194" s="84"/>
      <c r="G194" s="84"/>
      <c r="H194" s="84"/>
      <c r="I194" s="84"/>
      <c r="J194" s="84"/>
      <c r="K194" s="84">
        <f>+J104*J23*(1+$B$193)*$B$194</f>
        <v>50169.921167832072</v>
      </c>
      <c r="L194" s="84">
        <f>+K104*K23*(1+$B$193)*$B$194</f>
        <v>38036.434798437891</v>
      </c>
      <c r="M194" s="84">
        <f>+L104*L23*(1+$B$193)*$B$194</f>
        <v>33319.371558201507</v>
      </c>
      <c r="N194" s="84">
        <f>+M104*M23*(1+$B$193)*$B$194</f>
        <v>32378.685536304656</v>
      </c>
      <c r="O194" s="84">
        <f>+N104*N23*(1+$B$193)*$B$194</f>
        <v>36178.920733460414</v>
      </c>
      <c r="P194" s="84">
        <f>+O104*O23*(1+$B$193)*$B$194</f>
        <v>36741.287376985711</v>
      </c>
      <c r="Q194" s="84">
        <f>+P104*P23*(1+$B$193)*$B$194</f>
        <v>28343.278833674689</v>
      </c>
      <c r="R194" s="84">
        <f>+Q104*Q23*(1+$B$193)*$B$194</f>
        <v>28629.574579469383</v>
      </c>
      <c r="S194" s="84">
        <f>+R104*R23*(1+$B$193)*$B$194</f>
        <v>28629.574579469383</v>
      </c>
      <c r="T194" s="84">
        <f>+S104*S23*(1+$B$193)*$B$194</f>
        <v>22375.375846930532</v>
      </c>
      <c r="U194" s="84">
        <f>+T104*T23*(1+$B$193)*$B$194</f>
        <v>22596.91422165262</v>
      </c>
      <c r="V194" s="84">
        <f>+U104*U23*(1+$B$193)*$B$194</f>
        <v>22818.452596374707</v>
      </c>
      <c r="W194" s="84">
        <f>+V104*V23*(1+$B$193)*$B$194</f>
        <v>19849.838375098774</v>
      </c>
      <c r="X194" s="84">
        <f>+W104*W23*(1+$B$193)*$B$194</f>
        <v>20040.702205628568</v>
      </c>
      <c r="Y194" s="84">
        <f>+X104*X23*(1+$B$193)*$B$194</f>
        <v>20040.702205628568</v>
      </c>
      <c r="Z194" s="84">
        <f>+Y104*Y23*(1+$B$193)*$B$194</f>
        <v>21472.180934602035</v>
      </c>
      <c r="AA194" s="84">
        <f>+Z104*Z23*(1+$B$193)*$B$194</f>
        <v>21472.180934602035</v>
      </c>
      <c r="AB194" s="84">
        <f>+AA104*AA23*(1+$B$193)*$B$194</f>
        <v>21472.180934602035</v>
      </c>
      <c r="AC194" s="84">
        <f>+AB104*AB23*(1+$B$193)*$B$194</f>
        <v>22903.659663575505</v>
      </c>
      <c r="AD194" s="84">
        <f>+AC104*AC23*(1+$B$193)*$B$194</f>
        <v>22903.659663575505</v>
      </c>
      <c r="AE194" s="84">
        <f>+AD104*AD23*(1+$B$193)*$B$194</f>
        <v>22903.659663575505</v>
      </c>
      <c r="AF194" s="84">
        <f>+AE104*AE23*(1+$B$193)*$B$194</f>
        <v>24335.138392548972</v>
      </c>
      <c r="AG194" s="84">
        <f>+AF104*AF23*(1+$B$193)*$B$194</f>
        <v>24335.138392548972</v>
      </c>
      <c r="AH194" s="84">
        <f>+AG104*AG23*(1+$B$193)*$B$194</f>
        <v>24335.138392548972</v>
      </c>
      <c r="AI194" s="84">
        <f>+AH104*AH23*(1+$B$193)*$B$194</f>
        <v>19324.962841141834</v>
      </c>
      <c r="AJ194" s="84">
        <f>+AI104*AI23*(1+$B$193)*$B$194</f>
        <v>19324.962841141834</v>
      </c>
      <c r="AK194" s="84">
        <f>+AJ104*AJ23*(1+$B$193)*$B$194</f>
        <v>19324.962841141834</v>
      </c>
      <c r="AL194" s="84">
        <f>+AK104*AK23*(1+$B$193)*$B$194</f>
        <v>20398.571887871934</v>
      </c>
      <c r="AM194" s="84">
        <f>+AL104*AL23*(1+$B$193)*$B$194</f>
        <v>20398.571887871934</v>
      </c>
      <c r="AN194" s="84">
        <f>+AM104*AM23*(1+$B$193)*$B$194</f>
        <v>20398.571887871934</v>
      </c>
      <c r="AO194" s="84">
        <f>+AN104*AN23*(1+$B$193)*$B$194</f>
        <v>21472.180934602035</v>
      </c>
      <c r="AP194" s="84">
        <f>+AO104*AO23*(1+$B$193)*$B$194</f>
        <v>21472.180934602035</v>
      </c>
      <c r="AQ194" s="84">
        <f>+AP104*AP23*(1+$B$193)*$B$194</f>
        <v>21472.180934602035</v>
      </c>
      <c r="AR194" s="84">
        <f>+AQ104*AQ23*(1+$B$193)*$B$194</f>
        <v>21472.180934602035</v>
      </c>
      <c r="AS194" s="84">
        <f>+AR104*AR23*(1+$B$193)*$B$194</f>
        <v>14314.78728973469</v>
      </c>
      <c r="AT194" s="84">
        <f>+AS104*AS23*(1+$B$193)*$B$194</f>
        <v>14314.78728973469</v>
      </c>
      <c r="AU194" s="84">
        <f>+AT104*AT23*(1+$B$193)*$B$194</f>
        <v>14314.78728973469</v>
      </c>
      <c r="AV194" s="84">
        <f>+AU104*AU23*(1+$B$193)*$B$194</f>
        <v>14314.78728973469</v>
      </c>
      <c r="AW194" s="84">
        <f>+AV104*AV23*(1+$B$193)*$B$194</f>
        <v>0</v>
      </c>
      <c r="AX194" s="84">
        <f>+AW104*AW23*(1+$B$193)*$B$194</f>
        <v>0</v>
      </c>
      <c r="AY194" s="84">
        <f>+AX104*AX23*(1+$B$193)*$B$194</f>
        <v>0</v>
      </c>
      <c r="AZ194" s="84">
        <f>+AY104*AY23*(1+$B$193)*$B$194</f>
        <v>0</v>
      </c>
      <c r="BA194" s="84">
        <f>+AZ104*AZ23*(1+$B$193)*$B$194</f>
        <v>0</v>
      </c>
      <c r="BB194" s="84">
        <f>+BA104*BA23*(1+$B$193)*$B$194</f>
        <v>0</v>
      </c>
      <c r="BC194" s="84">
        <f>+BB104*BB23*(1+$B$193)*$B$194</f>
        <v>0</v>
      </c>
      <c r="BD194" s="84">
        <f>+BC104*BC23*(1+$B$193)*$B$194</f>
        <v>0</v>
      </c>
      <c r="BE194" s="84">
        <f>+BD104*BD23*(1+$B$193)*$B$194</f>
        <v>0</v>
      </c>
      <c r="BF194" s="16"/>
      <c r="BG194" s="16"/>
      <c r="BH194" s="16"/>
      <c r="BI194" s="16"/>
      <c r="BJ194" s="16"/>
      <c r="BK194" s="16"/>
      <c r="BL194" s="16"/>
      <c r="BM194" s="16"/>
      <c r="BN194" s="16"/>
      <c r="BO194" s="16"/>
      <c r="BP194" s="16"/>
      <c r="BQ194" s="16"/>
    </row>
    <row r="195" spans="1:69" s="112" customFormat="1" ht="14" hidden="1" outlineLevel="1">
      <c r="A195" s="121" t="s">
        <v>1</v>
      </c>
      <c r="B195" s="670">
        <f t="shared" si="118"/>
        <v>0.6</v>
      </c>
      <c r="C195" s="633">
        <f>SUM(D195:BQ195)</f>
        <v>1817200.8973434335</v>
      </c>
      <c r="D195" s="84"/>
      <c r="E195" s="84"/>
      <c r="F195" s="84"/>
      <c r="G195" s="84"/>
      <c r="H195" s="84"/>
      <c r="I195" s="84"/>
      <c r="J195" s="84"/>
      <c r="K195" s="84"/>
      <c r="L195" s="84">
        <f>+J104*J23*(1+$B$193)*$B$195/K126+K195</f>
        <v>2134.8902624609391</v>
      </c>
      <c r="M195" s="84">
        <f>+K104*K23*(1+$B$193)*$B$195/L126+L195</f>
        <v>3788.64829717563</v>
      </c>
      <c r="N195" s="84">
        <f>+L104*L23*(1+$B$193)*$B$195/M126+M195</f>
        <v>5269.5092553179193</v>
      </c>
      <c r="O195" s="84">
        <f>+M104*M23*(1+$B$193)*$B$195/N126+N195</f>
        <v>6741.2676887863126</v>
      </c>
      <c r="P195" s="84">
        <f>+N104*N23*(1+$B$193)*$B$195/O126+O195</f>
        <v>8424.0081880170292</v>
      </c>
      <c r="Q195" s="84">
        <f>+O104*O23*(1+$B$193)*$B$195/P126+P195</f>
        <v>10173.593301206825</v>
      </c>
      <c r="R195" s="84">
        <f>+P104*P23*(1+$B$193)*$B$195/Q126+Q195</f>
        <v>11556.192268703151</v>
      </c>
      <c r="S195" s="84">
        <f>+Q104*Q23*(1+$B$193)*$B$195/R126+R195</f>
        <v>12987.67099767662</v>
      </c>
      <c r="T195" s="84">
        <f>+R104*R23*(1+$B$193)*$B$195/S126+S195</f>
        <v>14455.854309444279</v>
      </c>
      <c r="U195" s="84">
        <f>+S104*S23*(1+$B$193)*$B$195/T126+T195</f>
        <v>15633.505669809045</v>
      </c>
      <c r="V195" s="84">
        <f>+T104*T23*(1+$B$193)*$B$195/U126+U195</f>
        <v>16854.96049260108</v>
      </c>
      <c r="W195" s="84">
        <f>+U104*U23*(1+$B$193)*$B$195/V126+V195</f>
        <v>18122.652303510786</v>
      </c>
      <c r="X195" s="84">
        <f>+V104*V23*(1+$B$193)*$B$195/W126+W195</f>
        <v>19256.92878208786</v>
      </c>
      <c r="Y195" s="84">
        <f>+W104*W23*(1+$B$193)*$B$195/X126+X195</f>
        <v>20435.793617713069</v>
      </c>
      <c r="Z195" s="84">
        <f>+X104*X23*(1+$B$193)*$B$195/Y126+Y195</f>
        <v>21650.381630175405</v>
      </c>
      <c r="AA195" s="84">
        <f>+Y104*Y23*(1+$B$193)*$B$195/Z126+Z195</f>
        <v>22992.392938588033</v>
      </c>
      <c r="AB195" s="84">
        <f>+Z104*Z23*(1+$B$193)*$B$195/AA126+AA195</f>
        <v>24377.69493436881</v>
      </c>
      <c r="AC195" s="84">
        <f>+AA104*AA23*(1+$B$193)*$B$195/AB126+AB195</f>
        <v>25809.173663342281</v>
      </c>
      <c r="AD195" s="84">
        <f>+AB104*AB23*(1+$B$193)*$B$195/AC126+AC195</f>
        <v>27388.736398761281</v>
      </c>
      <c r="AE195" s="84">
        <f>+AC104*AC23*(1+$B$193)*$B$195/AD126+AD195</f>
        <v>29024.712089016673</v>
      </c>
      <c r="AF195" s="84">
        <f>+AD104*AD23*(1+$B$193)*$B$195/AE126+AE195</f>
        <v>30721.279471503749</v>
      </c>
      <c r="AG195" s="84">
        <f>+AE104*AE23*(1+$B$193)*$B$195/AF126+AF195</f>
        <v>32593.213194007516</v>
      </c>
      <c r="AH195" s="84">
        <f>+AF104*AF23*(1+$B$193)*$B$195/AG126+AG195</f>
        <v>34540.024265411434</v>
      </c>
      <c r="AI195" s="84">
        <f>+AG104*AG23*(1+$B$193)*$B$195/AH126+AH195</f>
        <v>36567.952464790513</v>
      </c>
      <c r="AJ195" s="84">
        <f>+AH104*AH23*(1+$B$193)*$B$195/AI126+AI195</f>
        <v>38248.384016194148</v>
      </c>
      <c r="AK195" s="84">
        <f>+AI104*AI23*(1+$B$193)*$B$195/AJ126+AJ195</f>
        <v>40005.198819934318</v>
      </c>
      <c r="AL195" s="84">
        <f>+AJ104*AJ23*(1+$B$193)*$B$195/AK126+AK195</f>
        <v>41845.671471471636</v>
      </c>
      <c r="AM195" s="84">
        <f>+AK104*AK23*(1+$B$193)*$B$195/AL126+AL195</f>
        <v>43885.528660258831</v>
      </c>
      <c r="AN195" s="84">
        <f>+AL104*AL23*(1+$B$193)*$B$195/AM126+AM195</f>
        <v>46032.746753719039</v>
      </c>
      <c r="AO195" s="84">
        <f>+AM104*AM23*(1+$B$193)*$B$195/AN126+AN195</f>
        <v>48299.254741260367</v>
      </c>
      <c r="AP195" s="84">
        <f>+AN104*AN23*(1+$B$193)*$B$195/AO126+AO195</f>
        <v>50825.393674742962</v>
      </c>
      <c r="AQ195" s="84">
        <f>+AO104*AO23*(1+$B$193)*$B$195/AP126+AP195</f>
        <v>53509.416291568217</v>
      </c>
      <c r="AR195" s="84">
        <f>+AP104*AP23*(1+$B$193)*$B$195/AQ126+AQ195</f>
        <v>56372.373749515158</v>
      </c>
      <c r="AS195" s="84">
        <f>+AQ104*AQ23*(1+$B$193)*$B$195/AR126+AR195</f>
        <v>59439.828168744018</v>
      </c>
      <c r="AT195" s="84">
        <f>+AR104*AR23*(1+$B$193)*$B$195/AS126+AS195</f>
        <v>61642.103136395512</v>
      </c>
      <c r="AU195" s="84">
        <f>+AS104*AS23*(1+$B$193)*$B$195/AT126+AT195</f>
        <v>64027.901018017961</v>
      </c>
      <c r="AV195" s="84">
        <f>+AT104*AT23*(1+$B$193)*$B$195/AU126+AU195</f>
        <v>66630.589616151541</v>
      </c>
      <c r="AW195" s="84">
        <f>+AU104*AU23*(1+$B$193)*$B$195/AV126+AV195</f>
        <v>69493.547074098475</v>
      </c>
      <c r="AX195" s="84">
        <f>+AV104*AV23*(1+$B$193)*$B$195/AW126+AW195</f>
        <v>69493.547074098475</v>
      </c>
      <c r="AY195" s="84">
        <f>+AW104*AW23*(1+$B$193)*$B$195/AX126+AX195</f>
        <v>69493.547074098475</v>
      </c>
      <c r="AZ195" s="84">
        <f>+AX104*AX23*(1+$B$193)*$B$195/AY126+AY195</f>
        <v>69493.547074098475</v>
      </c>
      <c r="BA195" s="84">
        <f>+AY104*AY23*(1+$B$193)*$B$195/AZ126+AZ195</f>
        <v>69493.547074098475</v>
      </c>
      <c r="BB195" s="84">
        <f>+AZ104*AZ23*(1+$B$193)*$B$195/BA126+BA195</f>
        <v>69493.547074098475</v>
      </c>
      <c r="BC195" s="84">
        <f>+BA104*BA23*(1+$B$193)*$B$195/BB126+BB195</f>
        <v>69493.547074098475</v>
      </c>
      <c r="BD195" s="84">
        <f>+BB104*BB23*(1+$B$193)*$B$195/BC126+BC195</f>
        <v>69493.547074098475</v>
      </c>
      <c r="BE195" s="84">
        <f>+BC104*BC23*(1+$B$193)*$B$195/BD126+BD195</f>
        <v>69493.547074098475</v>
      </c>
      <c r="BF195" s="84">
        <f>+BD104*BD23*(1+$B$193)*$B$195/BE126+BE195</f>
        <v>69493.547074098475</v>
      </c>
      <c r="BG195" s="84"/>
      <c r="BH195" s="16"/>
      <c r="BI195" s="16"/>
      <c r="BJ195" s="16"/>
      <c r="BK195" s="16"/>
      <c r="BL195" s="16"/>
      <c r="BM195" s="16"/>
      <c r="BN195" s="16"/>
      <c r="BO195" s="16"/>
      <c r="BP195" s="16"/>
      <c r="BQ195" s="16"/>
    </row>
    <row r="196" spans="1:69" s="112" customFormat="1" ht="14" hidden="1" outlineLevel="1">
      <c r="A196" s="121" t="s">
        <v>31</v>
      </c>
      <c r="B196" s="670">
        <f t="shared" si="118"/>
        <v>0.1</v>
      </c>
      <c r="C196" s="633">
        <f>SUM(D196:BQ196)</f>
        <v>302866.81622390583</v>
      </c>
      <c r="D196" s="84"/>
      <c r="E196" s="84"/>
      <c r="F196" s="84"/>
      <c r="G196" s="84"/>
      <c r="H196" s="84"/>
      <c r="I196" s="84"/>
      <c r="J196" s="84"/>
      <c r="K196" s="84"/>
      <c r="L196" s="84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  <c r="AU196" s="16"/>
      <c r="AV196" s="16"/>
      <c r="AW196" s="16"/>
      <c r="AX196" s="16"/>
      <c r="AY196" s="16"/>
      <c r="AZ196" s="16"/>
      <c r="BA196" s="16"/>
      <c r="BB196" s="16"/>
      <c r="BC196" s="16"/>
      <c r="BD196" s="16"/>
      <c r="BE196" s="16"/>
      <c r="BF196" s="16">
        <f>SUMPRODUCT($D$104:$BD$104,$D$23:$BD$23)*(1+$B$193)*$B$196/3</f>
        <v>100955.60540796861</v>
      </c>
      <c r="BG196" s="16">
        <f>SUMPRODUCT($D$104:$BD$104,$D$23:$BD$23)*(1+$B$193)*$B$196/3</f>
        <v>100955.60540796861</v>
      </c>
      <c r="BH196" s="16">
        <f>SUMPRODUCT($D$104:$BD$104,$D$23:$BD$23)*(1+$B$193)*$B$196/3</f>
        <v>100955.60540796861</v>
      </c>
      <c r="BI196" s="16"/>
      <c r="BJ196" s="16"/>
      <c r="BK196" s="16"/>
      <c r="BL196" s="16"/>
      <c r="BM196" s="16"/>
      <c r="BN196" s="16"/>
      <c r="BO196" s="16"/>
      <c r="BP196" s="16"/>
      <c r="BQ196" s="16"/>
    </row>
    <row r="197" spans="1:69" s="112" customFormat="1" ht="14" hidden="1" outlineLevel="1">
      <c r="A197" s="121"/>
      <c r="B197" s="670"/>
      <c r="C197" s="633"/>
      <c r="D197" s="84"/>
      <c r="E197" s="84"/>
      <c r="F197" s="84"/>
      <c r="G197" s="84"/>
      <c r="H197" s="84"/>
      <c r="I197" s="84"/>
      <c r="J197" s="84"/>
      <c r="K197" s="84"/>
      <c r="L197" s="84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6"/>
      <c r="BE197" s="16"/>
      <c r="BF197" s="16"/>
      <c r="BG197" s="16"/>
      <c r="BH197" s="16"/>
      <c r="BI197" s="16"/>
      <c r="BJ197" s="16"/>
      <c r="BK197" s="16"/>
      <c r="BL197" s="16"/>
      <c r="BM197" s="16"/>
      <c r="BN197" s="16"/>
      <c r="BO197" s="16"/>
      <c r="BP197" s="16"/>
      <c r="BQ197" s="16"/>
    </row>
    <row r="198" spans="1:69" s="112" customFormat="1" ht="14" hidden="1" outlineLevel="1">
      <c r="A198" s="232" t="s">
        <v>271</v>
      </c>
      <c r="B198" s="615">
        <f t="shared" si="118"/>
        <v>0</v>
      </c>
      <c r="C198" s="633"/>
      <c r="D198" s="84"/>
      <c r="E198" s="84"/>
      <c r="F198" s="84"/>
      <c r="G198" s="84"/>
      <c r="H198" s="84"/>
      <c r="I198" s="84"/>
      <c r="J198" s="84"/>
      <c r="K198" s="84"/>
      <c r="L198" s="84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  <c r="AU198" s="16"/>
      <c r="AV198" s="16"/>
      <c r="AW198" s="16"/>
      <c r="AX198" s="16"/>
      <c r="AY198" s="16"/>
      <c r="AZ198" s="16"/>
      <c r="BA198" s="16"/>
      <c r="BB198" s="16"/>
      <c r="BC198" s="16"/>
      <c r="BD198" s="16"/>
      <c r="BE198" s="16"/>
      <c r="BF198" s="16"/>
      <c r="BG198" s="16"/>
      <c r="BH198" s="16"/>
      <c r="BI198" s="16"/>
      <c r="BJ198" s="16"/>
      <c r="BK198" s="16"/>
      <c r="BL198" s="16"/>
      <c r="BM198" s="16"/>
      <c r="BN198" s="16"/>
      <c r="BO198" s="16"/>
      <c r="BP198" s="16"/>
      <c r="BQ198" s="16"/>
    </row>
    <row r="199" spans="1:69" s="112" customFormat="1" ht="14" hidden="1" outlineLevel="1">
      <c r="A199" s="121" t="s">
        <v>119</v>
      </c>
      <c r="B199" s="670">
        <f t="shared" si="118"/>
        <v>0.1</v>
      </c>
      <c r="C199" s="633">
        <f>SUM(D199:BQ199)</f>
        <v>140387.16392004097</v>
      </c>
      <c r="D199" s="84"/>
      <c r="E199" s="84"/>
      <c r="F199" s="84"/>
      <c r="G199" s="84"/>
      <c r="H199" s="84"/>
      <c r="I199" s="84"/>
      <c r="J199" s="84"/>
      <c r="K199" s="84">
        <f>+J104*J24*(1+$B$198)*$B$199</f>
        <v>20904.13381993003</v>
      </c>
      <c r="L199" s="84">
        <f>+K104*K24*(1+$B$198)*$B$199</f>
        <v>15848.514499349121</v>
      </c>
      <c r="M199" s="84">
        <f>+L104*L24*(1+$B$198)*$B$199</f>
        <v>13883.07148258396</v>
      </c>
      <c r="N199" s="84">
        <f>+M104*M24*(1+$B$198)*$B$199</f>
        <v>9713.6056608913987</v>
      </c>
      <c r="O199" s="84">
        <f>+N104*N24*(1+$B$198)*$B$199</f>
        <v>9866.9783818528413</v>
      </c>
      <c r="P199" s="84">
        <f>+O104*O24*(1+$B$198)*$B$199</f>
        <v>10020.351102814286</v>
      </c>
      <c r="Q199" s="84">
        <f>+P104*P24*(1+$B$198)*$B$199</f>
        <v>6298.5064074832653</v>
      </c>
      <c r="R199" s="84">
        <f>+Q104*Q24*(1+$B$198)*$B$199</f>
        <v>6362.1276843265314</v>
      </c>
      <c r="S199" s="84">
        <f>+R104*R24*(1+$B$198)*$B$199</f>
        <v>6362.1276843265314</v>
      </c>
      <c r="T199" s="84">
        <f>+S104*S24*(1+$B$198)*$B$199</f>
        <v>4016.093100731121</v>
      </c>
      <c r="U199" s="84">
        <f>+T104*T24*(1+$B$198)*$B$199</f>
        <v>4055.8563987581629</v>
      </c>
      <c r="V199" s="84">
        <f>+U104*U24*(1+$B$198)*$B$199</f>
        <v>4095.6196967852034</v>
      </c>
      <c r="W199" s="84">
        <f>+V104*V24*(1+$B$198)*$B$199</f>
        <v>2835.6911964426822</v>
      </c>
      <c r="X199" s="84">
        <f>+W104*W24*(1+$B$198)*$B$199</f>
        <v>2862.9574579469381</v>
      </c>
      <c r="Y199" s="84">
        <f>+X104*X24*(1+$B$198)*$B$199</f>
        <v>2862.9574579469381</v>
      </c>
      <c r="Z199" s="84">
        <f>+Y104*Y24*(1+$B$198)*$B$199</f>
        <v>2385.7978816224486</v>
      </c>
      <c r="AA199" s="84">
        <f>+Z104*Z24*(1+$B$198)*$B$199</f>
        <v>2385.7978816224486</v>
      </c>
      <c r="AB199" s="84">
        <f>+AA104*AA24*(1+$B$198)*$B$199</f>
        <v>2385.7978816224486</v>
      </c>
      <c r="AC199" s="84">
        <f>+AB104*AB24*(1+$B$198)*$B$199</f>
        <v>1908.6383052979591</v>
      </c>
      <c r="AD199" s="84">
        <f>+AC104*AC24*(1+$B$198)*$B$199</f>
        <v>1908.6383052979591</v>
      </c>
      <c r="AE199" s="84">
        <f>+AD104*AD24*(1+$B$198)*$B$199</f>
        <v>1908.6383052979591</v>
      </c>
      <c r="AF199" s="84">
        <f>+AE104*AE24*(1+$B$198)*$B$199</f>
        <v>1431.4787289734691</v>
      </c>
      <c r="AG199" s="84">
        <f>+AF104*AF24*(1+$B$198)*$B$199</f>
        <v>1431.4787289734691</v>
      </c>
      <c r="AH199" s="84">
        <f>+AG104*AG24*(1+$B$198)*$B$199</f>
        <v>1431.4787289734691</v>
      </c>
      <c r="AI199" s="84">
        <f>+AH104*AH24*(1+$B$198)*$B$199</f>
        <v>715.73936448673464</v>
      </c>
      <c r="AJ199" s="84">
        <f>+AI104*AI24*(1+$B$198)*$B$199</f>
        <v>715.73936448673464</v>
      </c>
      <c r="AK199" s="84">
        <f>+AJ104*AJ24*(1+$B$198)*$B$199</f>
        <v>715.73936448673464</v>
      </c>
      <c r="AL199" s="84">
        <f>+AK104*AK24*(1+$B$198)*$B$199</f>
        <v>357.86968224336732</v>
      </c>
      <c r="AM199" s="84">
        <f>+AL104*AL24*(1+$B$198)*$B$199</f>
        <v>357.86968224336732</v>
      </c>
      <c r="AN199" s="84">
        <f>+AM104*AM24*(1+$B$198)*$B$199</f>
        <v>357.86968224336732</v>
      </c>
      <c r="AO199" s="84">
        <f>+AN104*AN24*(1+$B$198)*$B$199</f>
        <v>0</v>
      </c>
      <c r="AP199" s="84">
        <f>+AO104*AO24*(1+$B$198)*$B$199</f>
        <v>0</v>
      </c>
      <c r="AQ199" s="84">
        <f>+AP104*AP24*(1+$B$198)*$B$199</f>
        <v>0</v>
      </c>
      <c r="AR199" s="84">
        <f>+AQ104*AQ24*(1+$B$198)*$B$199</f>
        <v>0</v>
      </c>
      <c r="AS199" s="84">
        <f>+AR104*AR24*(1+$B$198)*$B$199</f>
        <v>0</v>
      </c>
      <c r="AT199" s="84">
        <f>+AS104*AS24*(1+$B$198)*$B$199</f>
        <v>0</v>
      </c>
      <c r="AU199" s="84">
        <f>+AT104*AT24*(1+$B$198)*$B$199</f>
        <v>0</v>
      </c>
      <c r="AV199" s="84">
        <f>+AU104*AU24*(1+$B$198)*$B$199</f>
        <v>0</v>
      </c>
      <c r="AW199" s="84">
        <f>+AV104*AV24*(1+$B$198)*$B$199</f>
        <v>0</v>
      </c>
      <c r="AX199" s="84">
        <f>+AW104*AW24*(1+$B$198)*$B$199</f>
        <v>0</v>
      </c>
      <c r="AY199" s="84">
        <f>+AX104*AX24*(1+$B$198)*$B$199</f>
        <v>0</v>
      </c>
      <c r="AZ199" s="84">
        <f>+AY104*AY24*(1+$B$198)*$B$199</f>
        <v>0</v>
      </c>
      <c r="BA199" s="84">
        <f>+AZ104*AZ24*(1+$B$198)*$B$199</f>
        <v>0</v>
      </c>
      <c r="BB199" s="84">
        <f>+BA104*BA24*(1+$B$198)*$B$199</f>
        <v>0</v>
      </c>
      <c r="BC199" s="84">
        <f>+BB104*BB24*(1+$B$198)*$B$199</f>
        <v>0</v>
      </c>
      <c r="BD199" s="84">
        <f>+BC104*BC24*(1+$B$198)*$B$199</f>
        <v>0</v>
      </c>
      <c r="BE199" s="84">
        <f>+BD104*BD24*(1+$B$198)*$B$199</f>
        <v>0</v>
      </c>
      <c r="BF199" s="16"/>
      <c r="BG199" s="16"/>
      <c r="BH199" s="16"/>
      <c r="BI199" s="16"/>
      <c r="BJ199" s="16"/>
      <c r="BK199" s="16"/>
      <c r="BL199" s="16"/>
      <c r="BM199" s="16"/>
      <c r="BN199" s="16"/>
      <c r="BO199" s="16"/>
      <c r="BP199" s="16"/>
      <c r="BQ199" s="16"/>
    </row>
    <row r="200" spans="1:69" s="112" customFormat="1" ht="14" hidden="1" outlineLevel="1">
      <c r="A200" s="121" t="s">
        <v>1</v>
      </c>
      <c r="B200" s="670">
        <f t="shared" si="118"/>
        <v>0.2</v>
      </c>
      <c r="C200" s="633">
        <f>SUM(D200:BQ200)</f>
        <v>280774.32784008194</v>
      </c>
      <c r="D200" s="84"/>
      <c r="E200" s="84"/>
      <c r="F200" s="84"/>
      <c r="G200" s="84"/>
      <c r="H200" s="84"/>
      <c r="I200" s="84"/>
      <c r="J200" s="84"/>
      <c r="K200" s="84"/>
      <c r="L200" s="84">
        <f>+J104*J24*(1+$B$198)*$B$200/K126+K200</f>
        <v>889.53760935872469</v>
      </c>
      <c r="M200" s="84">
        <f>+K104*K24*(1+$B$198)*$B$200/L126+L200</f>
        <v>1578.6034571565126</v>
      </c>
      <c r="N200" s="84">
        <f>+L104*L24*(1+$B$198)*$B$200/M126+M200</f>
        <v>2195.6288563824664</v>
      </c>
      <c r="O200" s="84">
        <f>+M104*M24*(1+$B$198)*$B$200/N126+N200</f>
        <v>2637.1563864229847</v>
      </c>
      <c r="P200" s="84">
        <f>+N104*N24*(1+$B$198)*$B$200/O126+O200</f>
        <v>3096.0856134859077</v>
      </c>
      <c r="Q200" s="84">
        <f>+O104*O24*(1+$B$198)*$B$200/P126+P200</f>
        <v>3573.2451898103977</v>
      </c>
      <c r="R200" s="84">
        <f>+P104*P24*(1+$B$198)*$B$200/Q126+Q200</f>
        <v>3880.4894048095812</v>
      </c>
      <c r="S200" s="84">
        <f>+Q104*Q24*(1+$B$198)*$B$200/R126+R200</f>
        <v>4198.5957890259078</v>
      </c>
      <c r="T200" s="84">
        <f>+R104*R24*(1+$B$198)*$B$200/S126+S200</f>
        <v>4524.8587471964993</v>
      </c>
      <c r="U200" s="84">
        <f>+S104*S24*(1+$B$198)*$B$200/T126+T200</f>
        <v>4736.2320682876107</v>
      </c>
      <c r="V200" s="84">
        <f>+T104*T24*(1+$B$198)*$B$200/U126+U200</f>
        <v>4955.4675493015657</v>
      </c>
      <c r="W200" s="84">
        <f>+U104*U24*(1+$B$198)*$B$200/V126+V200</f>
        <v>5183.001976900744</v>
      </c>
      <c r="X200" s="84">
        <f>+V104*V24*(1+$B$198)*$B$200/W126+W200</f>
        <v>5345.041473840326</v>
      </c>
      <c r="Y200" s="84">
        <f>+W104*W24*(1+$B$198)*$B$200/X126+X200</f>
        <v>5513.4507360724992</v>
      </c>
      <c r="Z200" s="84">
        <f>+X104*X24*(1+$B$198)*$B$200/Y126+Y200</f>
        <v>5686.9633092814047</v>
      </c>
      <c r="AA200" s="84">
        <f>+Y104*Y24*(1+$B$198)*$B$200/Z126+Z200</f>
        <v>5836.0756768828078</v>
      </c>
      <c r="AB200" s="84">
        <f>+Z104*Z24*(1+$B$198)*$B$200/AA126+AA200</f>
        <v>5989.9981208584495</v>
      </c>
      <c r="AC200" s="84">
        <f>+AA104*AA24*(1+$B$198)*$B$200/AB126+AB200</f>
        <v>6149.0513129666124</v>
      </c>
      <c r="AD200" s="84">
        <f>+AB104*AB24*(1+$B$198)*$B$200/AC126+AC200</f>
        <v>6280.6815409181954</v>
      </c>
      <c r="AE200" s="84">
        <f>+AC104*AC24*(1+$B$198)*$B$200/AD126+AD200</f>
        <v>6417.0128484394781</v>
      </c>
      <c r="AF200" s="84">
        <f>+AD104*AD24*(1+$B$198)*$B$200/AE126+AE200</f>
        <v>6558.3934636467347</v>
      </c>
      <c r="AG200" s="84">
        <f>+AE104*AE24*(1+$B$198)*$B$200/AF126+AF200</f>
        <v>6668.5072120293089</v>
      </c>
      <c r="AH200" s="84">
        <f>+AF104*AF24*(1+$B$198)*$B$200/AG126+AG200</f>
        <v>6783.0255103471864</v>
      </c>
      <c r="AI200" s="84">
        <f>+AG104*AG24*(1+$B$198)*$B$200/AH126+AH200</f>
        <v>6902.3154044283092</v>
      </c>
      <c r="AJ200" s="84">
        <f>+AH104*AH24*(1+$B$198)*$B$200/AI126+AI200</f>
        <v>6964.5536100358513</v>
      </c>
      <c r="AK200" s="84">
        <f>+AI104*AI24*(1+$B$198)*$B$200/AJ126+AJ200</f>
        <v>7029.6208249891906</v>
      </c>
      <c r="AL200" s="84">
        <f>+AJ104*AJ24*(1+$B$198)*$B$200/AK126+AK200</f>
        <v>7097.786478749832</v>
      </c>
      <c r="AM200" s="84">
        <f>+AK104*AK24*(1+$B$198)*$B$200/AL126+AL200</f>
        <v>7133.5734469741683</v>
      </c>
      <c r="AN200" s="84">
        <f>+AL104*AL24*(1+$B$198)*$B$200/AM126+AM200</f>
        <v>7171.243939841891</v>
      </c>
      <c r="AO200" s="84">
        <f>+AM104*AM24*(1+$B$198)*$B$200/AN126+AN200</f>
        <v>7211.007237868932</v>
      </c>
      <c r="AP200" s="84">
        <f>+AN104*AN24*(1+$B$198)*$B$200/AO126+AO200</f>
        <v>7211.007237868932</v>
      </c>
      <c r="AQ200" s="84">
        <f>+AO104*AO24*(1+$B$198)*$B$200/AP126+AP200</f>
        <v>7211.007237868932</v>
      </c>
      <c r="AR200" s="84">
        <f>+AP104*AP24*(1+$B$198)*$B$200/AQ126+AQ200</f>
        <v>7211.007237868932</v>
      </c>
      <c r="AS200" s="84">
        <f>+AQ104*AQ24*(1+$B$198)*$B$200/AR126+AR200</f>
        <v>7211.007237868932</v>
      </c>
      <c r="AT200" s="84">
        <f>+AR104*AR24*(1+$B$198)*$B$200/AS126+AS200</f>
        <v>7211.007237868932</v>
      </c>
      <c r="AU200" s="84">
        <f>+AS104*AS24*(1+$B$198)*$B$200/AT126+AT200</f>
        <v>7211.007237868932</v>
      </c>
      <c r="AV200" s="84">
        <f>+AT104*AT24*(1+$B$198)*$B$200/AU126+AU200</f>
        <v>7211.007237868932</v>
      </c>
      <c r="AW200" s="84">
        <f>+AU104*AU24*(1+$B$198)*$B$200/AV126+AV200</f>
        <v>7211.007237868932</v>
      </c>
      <c r="AX200" s="84">
        <f>+AV104*AV24*(1+$B$198)*$B$200/AW126+AW200</f>
        <v>7211.007237868932</v>
      </c>
      <c r="AY200" s="84">
        <f>+AW104*AW24*(1+$B$198)*$B$200/AX126+AX200</f>
        <v>7211.007237868932</v>
      </c>
      <c r="AZ200" s="84">
        <f>+AX104*AX24*(1+$B$198)*$B$200/AY126+AY200</f>
        <v>7211.007237868932</v>
      </c>
      <c r="BA200" s="84">
        <f>+AY104*AY24*(1+$B$198)*$B$200/AZ126+AZ200</f>
        <v>7211.007237868932</v>
      </c>
      <c r="BB200" s="84">
        <f>+AZ104*AZ24*(1+$B$198)*$B$200/BA126+BA200</f>
        <v>7211.007237868932</v>
      </c>
      <c r="BC200" s="84">
        <f>+BA104*BA24*(1+$B$198)*$B$200/BB126+BB200</f>
        <v>7211.007237868932</v>
      </c>
      <c r="BD200" s="84">
        <f>+BB104*BB24*(1+$B$198)*$B$200/BC126+BC200</f>
        <v>7211.007237868932</v>
      </c>
      <c r="BE200" s="84">
        <f>+BC104*BC24*(1+$B$198)*$B$200/BD126+BD200</f>
        <v>7211.007237868932</v>
      </c>
      <c r="BF200" s="84">
        <f>+BD104*BD24*(1+$B$198)*$B$200/BE126+BE200</f>
        <v>7211.007237868932</v>
      </c>
      <c r="BG200" s="84"/>
      <c r="BH200" s="84"/>
      <c r="BI200" s="16"/>
      <c r="BJ200" s="16"/>
      <c r="BK200" s="16"/>
      <c r="BL200" s="16"/>
      <c r="BM200" s="16"/>
      <c r="BN200" s="16"/>
      <c r="BO200" s="16"/>
      <c r="BP200" s="16"/>
      <c r="BQ200" s="16"/>
    </row>
    <row r="201" spans="1:69" s="112" customFormat="1" ht="14" hidden="1" outlineLevel="1">
      <c r="A201" s="121" t="s">
        <v>31</v>
      </c>
      <c r="B201" s="670">
        <f t="shared" si="118"/>
        <v>0.7</v>
      </c>
      <c r="C201" s="633">
        <f>SUM(D201:BQ201)</f>
        <v>982710.14744028635</v>
      </c>
      <c r="D201" s="84"/>
      <c r="E201" s="84"/>
      <c r="F201" s="84"/>
      <c r="G201" s="84"/>
      <c r="H201" s="84"/>
      <c r="I201" s="84"/>
      <c r="J201" s="84"/>
      <c r="K201" s="84"/>
      <c r="L201" s="84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  <c r="AU201" s="16"/>
      <c r="AV201" s="16"/>
      <c r="AW201" s="16"/>
      <c r="AX201" s="16"/>
      <c r="AY201" s="16"/>
      <c r="AZ201" s="16"/>
      <c r="BA201" s="16"/>
      <c r="BB201" s="16"/>
      <c r="BC201" s="16"/>
      <c r="BD201" s="16"/>
      <c r="BE201" s="16"/>
      <c r="BF201" s="16">
        <f>SUMPRODUCT($D$104:$BD$104,$D$24:$BD$24)*(1+$B$198)*$B$201/3</f>
        <v>327570.04914676212</v>
      </c>
      <c r="BG201" s="16">
        <f>SUMPRODUCT($D$104:$BD$104,$D$24:$BD$24)*(1+$B$198)*$B$201/3</f>
        <v>327570.04914676212</v>
      </c>
      <c r="BH201" s="16">
        <f>SUMPRODUCT($D$104:$BD$104,$D$24:$BD$24)*(1+$B$198)*$B$201/3</f>
        <v>327570.04914676212</v>
      </c>
      <c r="BI201" s="16"/>
      <c r="BJ201" s="16"/>
      <c r="BK201" s="16"/>
      <c r="BL201" s="16"/>
      <c r="BM201" s="16"/>
      <c r="BN201" s="16"/>
      <c r="BO201" s="16"/>
      <c r="BP201" s="16"/>
      <c r="BQ201" s="16"/>
    </row>
    <row r="202" spans="1:69" s="112" customFormat="1" ht="14" hidden="1" outlineLevel="1">
      <c r="A202" s="121"/>
      <c r="B202" s="670"/>
      <c r="C202" s="633"/>
      <c r="D202" s="84"/>
      <c r="E202" s="84"/>
      <c r="F202" s="84"/>
      <c r="G202" s="84"/>
      <c r="H202" s="84"/>
      <c r="I202" s="84"/>
      <c r="J202" s="84"/>
      <c r="K202" s="84"/>
      <c r="L202" s="84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  <c r="AU202" s="16"/>
      <c r="AV202" s="16"/>
      <c r="AW202" s="16"/>
      <c r="AX202" s="16"/>
      <c r="AY202" s="16"/>
      <c r="AZ202" s="16"/>
      <c r="BA202" s="16"/>
      <c r="BB202" s="16"/>
      <c r="BC202" s="16"/>
      <c r="BD202" s="16"/>
      <c r="BE202" s="16"/>
      <c r="BF202" s="16"/>
      <c r="BG202" s="16"/>
      <c r="BH202" s="16"/>
      <c r="BI202" s="16"/>
      <c r="BJ202" s="16"/>
      <c r="BK202" s="16"/>
      <c r="BL202" s="16"/>
      <c r="BM202" s="16"/>
      <c r="BN202" s="16"/>
      <c r="BO202" s="16"/>
      <c r="BP202" s="16"/>
      <c r="BQ202" s="16"/>
    </row>
    <row r="203" spans="1:69" s="112" customFormat="1" ht="14" hidden="1" outlineLevel="1">
      <c r="A203" s="232" t="s">
        <v>139</v>
      </c>
      <c r="B203" s="670"/>
      <c r="C203" s="633"/>
      <c r="D203" s="84"/>
      <c r="E203" s="84"/>
      <c r="F203" s="84"/>
      <c r="G203" s="84"/>
      <c r="H203" s="84"/>
      <c r="I203" s="84"/>
      <c r="J203" s="84"/>
      <c r="K203" s="84"/>
      <c r="L203" s="84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  <c r="AU203" s="16"/>
      <c r="AV203" s="16"/>
      <c r="AW203" s="16"/>
      <c r="AX203" s="16"/>
      <c r="AY203" s="16"/>
      <c r="AZ203" s="16"/>
      <c r="BA203" s="16"/>
      <c r="BB203" s="16"/>
      <c r="BC203" s="16"/>
      <c r="BD203" s="16"/>
      <c r="BE203" s="16"/>
      <c r="BF203" s="16"/>
      <c r="BG203" s="16"/>
      <c r="BH203" s="16"/>
      <c r="BI203" s="16"/>
      <c r="BJ203" s="16"/>
      <c r="BK203" s="16"/>
      <c r="BL203" s="16"/>
      <c r="BM203" s="16"/>
      <c r="BN203" s="16"/>
      <c r="BO203" s="16"/>
      <c r="BP203" s="16"/>
      <c r="BQ203" s="16"/>
    </row>
    <row r="204" spans="1:69" s="112" customFormat="1" ht="14" hidden="1" outlineLevel="1">
      <c r="A204" s="121" t="str">
        <f>+A189</f>
        <v>Boleto</v>
      </c>
      <c r="B204" s="670">
        <f t="shared" si="118"/>
        <v>0.3</v>
      </c>
      <c r="C204" s="633">
        <f>SUM(D204:BQ204)</f>
        <v>0</v>
      </c>
      <c r="D204" s="84"/>
      <c r="E204" s="84"/>
      <c r="F204" s="84"/>
      <c r="G204" s="84"/>
      <c r="H204" s="84"/>
      <c r="I204" s="84"/>
      <c r="J204" s="84"/>
      <c r="K204" s="84"/>
      <c r="L204" s="84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  <c r="AU204" s="16"/>
      <c r="AV204" s="16"/>
      <c r="AW204" s="16"/>
      <c r="AX204" s="16"/>
      <c r="AY204" s="16"/>
      <c r="AZ204" s="16"/>
      <c r="BA204" s="16"/>
      <c r="BB204" s="16"/>
      <c r="BC204" s="16"/>
      <c r="BD204" s="16"/>
      <c r="BE204" s="16"/>
      <c r="BF204" s="16">
        <f>+BE104*$B$204</f>
        <v>0</v>
      </c>
      <c r="BG204" s="16">
        <f>+BF104*$B$204</f>
        <v>0</v>
      </c>
      <c r="BH204" s="16">
        <f>+BG104*$B$204</f>
        <v>0</v>
      </c>
      <c r="BI204" s="16">
        <f>+BH104*$B$204</f>
        <v>0</v>
      </c>
      <c r="BJ204" s="16">
        <f>+BI104*$B$204</f>
        <v>0</v>
      </c>
      <c r="BK204" s="16">
        <f>+BJ104*$B$204</f>
        <v>0</v>
      </c>
      <c r="BL204" s="16">
        <f>+BK104*$B$204</f>
        <v>0</v>
      </c>
      <c r="BM204" s="16">
        <f>+BL104*$B$204</f>
        <v>0</v>
      </c>
      <c r="BN204" s="16">
        <f>+BM104*$B$204</f>
        <v>0</v>
      </c>
      <c r="BO204" s="16">
        <f>+BN104*$B$204</f>
        <v>0</v>
      </c>
      <c r="BP204" s="16">
        <f>+BO104*$B$204</f>
        <v>0</v>
      </c>
      <c r="BQ204" s="16"/>
    </row>
    <row r="205" spans="1:69" s="112" customFormat="1" ht="14" hidden="1" outlineLevel="1">
      <c r="A205" s="121" t="str">
        <f>+A191</f>
        <v>Posesión</v>
      </c>
      <c r="B205" s="670">
        <f t="shared" si="118"/>
        <v>0.7</v>
      </c>
      <c r="C205" s="633">
        <f>SUM(D205:BQ205)</f>
        <v>0</v>
      </c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>
        <f>+BE104*$B$205</f>
        <v>0</v>
      </c>
      <c r="BH205" s="16">
        <f>+BF104*$B$205</f>
        <v>0</v>
      </c>
      <c r="BI205" s="16">
        <f>+BG104*$B$205</f>
        <v>0</v>
      </c>
      <c r="BJ205" s="16">
        <f>+BH104*$B$205</f>
        <v>0</v>
      </c>
      <c r="BK205" s="16">
        <f>+BI104*$B$205</f>
        <v>0</v>
      </c>
      <c r="BL205" s="16">
        <f>+BJ104*$B$205</f>
        <v>0</v>
      </c>
      <c r="BM205" s="16">
        <f>+BK104*$B$205</f>
        <v>0</v>
      </c>
      <c r="BN205" s="16">
        <f>+BL104*$B$205</f>
        <v>0</v>
      </c>
      <c r="BO205" s="16">
        <f>+BM104*$B$205</f>
        <v>0</v>
      </c>
      <c r="BP205" s="16">
        <f>+BN104*$B$205</f>
        <v>0</v>
      </c>
      <c r="BQ205" s="16">
        <f>+BO104*$B$205</f>
        <v>0</v>
      </c>
    </row>
    <row r="206" spans="1:69" s="116" customFormat="1" ht="14" collapsed="1">
      <c r="A206" s="89" t="s">
        <v>68</v>
      </c>
      <c r="B206" s="672"/>
      <c r="C206" s="607">
        <f>SUM(D206:BQ206)</f>
        <v>28760538.253385365</v>
      </c>
      <c r="D206" s="89">
        <f>SUM(D130:D205)</f>
        <v>0</v>
      </c>
      <c r="E206" s="89">
        <f t="shared" ref="E206:BP206" si="119">SUM(E130:E205)</f>
        <v>0</v>
      </c>
      <c r="F206" s="89">
        <f t="shared" si="119"/>
        <v>0</v>
      </c>
      <c r="G206" s="89">
        <f t="shared" si="119"/>
        <v>0</v>
      </c>
      <c r="H206" s="89">
        <f t="shared" si="119"/>
        <v>0</v>
      </c>
      <c r="I206" s="89">
        <f t="shared" si="119"/>
        <v>0</v>
      </c>
      <c r="J206" s="89">
        <f t="shared" si="119"/>
        <v>0</v>
      </c>
      <c r="K206" s="89">
        <f t="shared" si="119"/>
        <v>635000.93458801939</v>
      </c>
      <c r="L206" s="89">
        <f t="shared" si="119"/>
        <v>506520.59342286491</v>
      </c>
      <c r="M206" s="89">
        <f t="shared" si="119"/>
        <v>466403.78074145998</v>
      </c>
      <c r="N206" s="89">
        <f t="shared" si="119"/>
        <v>376555.27012986148</v>
      </c>
      <c r="O206" s="89">
        <f t="shared" si="119"/>
        <v>370028.64858697436</v>
      </c>
      <c r="P206" s="89">
        <f t="shared" si="119"/>
        <v>392931.73045892426</v>
      </c>
      <c r="Q206" s="89">
        <f t="shared" si="119"/>
        <v>335521.47649874428</v>
      </c>
      <c r="R206" s="89">
        <f t="shared" si="119"/>
        <v>352528.05809508549</v>
      </c>
      <c r="S206" s="89">
        <f t="shared" si="119"/>
        <v>368014.66572596278</v>
      </c>
      <c r="T206" s="89">
        <f t="shared" si="119"/>
        <v>329662.86748135596</v>
      </c>
      <c r="U206" s="89">
        <f t="shared" si="119"/>
        <v>343920.81141044392</v>
      </c>
      <c r="V206" s="89">
        <f t="shared" si="119"/>
        <v>358830.76348634879</v>
      </c>
      <c r="W206" s="89">
        <f t="shared" si="119"/>
        <v>346037.66363289568</v>
      </c>
      <c r="X206" s="89">
        <f t="shared" si="119"/>
        <v>359727.75302716449</v>
      </c>
      <c r="Y206" s="89">
        <f t="shared" si="119"/>
        <v>372752.99808483245</v>
      </c>
      <c r="Z206" s="89">
        <f t="shared" si="119"/>
        <v>392479.54997339949</v>
      </c>
      <c r="AA206" s="89">
        <f t="shared" si="119"/>
        <v>407506.15349286579</v>
      </c>
      <c r="AB206" s="89">
        <f t="shared" si="119"/>
        <v>423397.32709591056</v>
      </c>
      <c r="AC206" s="89">
        <f t="shared" si="119"/>
        <v>446308.28630211903</v>
      </c>
      <c r="AD206" s="89">
        <f t="shared" si="119"/>
        <v>465022.86249598127</v>
      </c>
      <c r="AE206" s="89">
        <f t="shared" si="119"/>
        <v>485092.4684955079</v>
      </c>
      <c r="AF206" s="89">
        <f t="shared" si="119"/>
        <v>512797.08796383732</v>
      </c>
      <c r="AG206" s="89">
        <f t="shared" si="119"/>
        <v>537283.58146518795</v>
      </c>
      <c r="AH206" s="89">
        <f t="shared" si="119"/>
        <v>564212.97961150715</v>
      </c>
      <c r="AI206" s="89">
        <f t="shared" si="119"/>
        <v>558004.14232247334</v>
      </c>
      <c r="AJ206" s="89">
        <f t="shared" si="119"/>
        <v>584551.12225726387</v>
      </c>
      <c r="AK206" s="89">
        <f t="shared" si="119"/>
        <v>615603.86907515733</v>
      </c>
      <c r="AL206" s="89">
        <f t="shared" si="119"/>
        <v>658216.44752236956</v>
      </c>
      <c r="AM206" s="89">
        <f t="shared" si="119"/>
        <v>711248.51112402754</v>
      </c>
      <c r="AN206" s="89">
        <f t="shared" si="119"/>
        <v>1538745.6793758147</v>
      </c>
      <c r="AO206" s="89">
        <f t="shared" si="119"/>
        <v>1315632.2761274851</v>
      </c>
      <c r="AP206" s="89">
        <f t="shared" si="119"/>
        <v>1340717.5642530993</v>
      </c>
      <c r="AQ206" s="89">
        <f t="shared" si="119"/>
        <v>635491.9423232011</v>
      </c>
      <c r="AR206" s="89">
        <f t="shared" si="119"/>
        <v>672916.31321605237</v>
      </c>
      <c r="AS206" s="89">
        <f t="shared" si="119"/>
        <v>679398.2247484728</v>
      </c>
      <c r="AT206" s="89">
        <f t="shared" si="119"/>
        <v>1508375.9184518605</v>
      </c>
      <c r="AU206" s="89">
        <f t="shared" si="119"/>
        <v>1247711.4259971166</v>
      </c>
      <c r="AV206" s="89">
        <f t="shared" si="119"/>
        <v>1260336.7708167906</v>
      </c>
      <c r="AW206" s="89">
        <f t="shared" si="119"/>
        <v>388759.94265899621</v>
      </c>
      <c r="AX206" s="89">
        <f t="shared" si="119"/>
        <v>269247.22043434065</v>
      </c>
      <c r="AY206" s="89">
        <f t="shared" si="119"/>
        <v>269247.22043434065</v>
      </c>
      <c r="AZ206" s="89">
        <f t="shared" si="119"/>
        <v>1038955.4002923912</v>
      </c>
      <c r="BA206" s="89">
        <f t="shared" si="119"/>
        <v>846412.734170018</v>
      </c>
      <c r="BB206" s="89">
        <f t="shared" si="119"/>
        <v>846412.734170018</v>
      </c>
      <c r="BC206" s="89">
        <f t="shared" si="119"/>
        <v>76704.554311967411</v>
      </c>
      <c r="BD206" s="89">
        <f t="shared" si="119"/>
        <v>76704.554311967411</v>
      </c>
      <c r="BE206" s="89">
        <f t="shared" si="119"/>
        <v>76704.554311967411</v>
      </c>
      <c r="BF206" s="89">
        <f t="shared" si="119"/>
        <v>516436.64234494756</v>
      </c>
      <c r="BG206" s="89">
        <f t="shared" si="119"/>
        <v>439732.08803298016</v>
      </c>
      <c r="BH206" s="89">
        <f t="shared" si="119"/>
        <v>439732.08803298016</v>
      </c>
      <c r="BI206" s="89">
        <f t="shared" si="119"/>
        <v>0</v>
      </c>
      <c r="BJ206" s="89">
        <f t="shared" si="119"/>
        <v>0</v>
      </c>
      <c r="BK206" s="89">
        <f t="shared" si="119"/>
        <v>0</v>
      </c>
      <c r="BL206" s="89">
        <f t="shared" si="119"/>
        <v>0</v>
      </c>
      <c r="BM206" s="89">
        <f t="shared" si="119"/>
        <v>0</v>
      </c>
      <c r="BN206" s="89">
        <f t="shared" si="119"/>
        <v>0</v>
      </c>
      <c r="BO206" s="89">
        <f t="shared" si="119"/>
        <v>0</v>
      </c>
      <c r="BP206" s="89">
        <f t="shared" si="119"/>
        <v>0</v>
      </c>
      <c r="BQ206" s="89">
        <f t="shared" ref="BQ206" si="120">SUM(BQ130:BQ205)</f>
        <v>0</v>
      </c>
    </row>
    <row r="207" spans="1:69" s="112" customFormat="1" ht="6" customHeight="1">
      <c r="A207" s="63"/>
      <c r="B207" s="63"/>
      <c r="C207" s="152">
        <f>C206-C105</f>
        <v>0</v>
      </c>
      <c r="D207" s="63"/>
      <c r="E207" s="63"/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  <c r="Z207" s="63"/>
      <c r="AA207" s="63"/>
      <c r="AB207" s="63"/>
      <c r="AC207" s="63"/>
      <c r="AD207" s="63"/>
      <c r="AE207" s="63"/>
      <c r="AF207" s="63"/>
      <c r="AG207" s="63"/>
      <c r="AH207" s="63"/>
      <c r="AI207" s="63"/>
      <c r="AJ207" s="63"/>
      <c r="AK207" s="63"/>
      <c r="AL207" s="63"/>
      <c r="AM207" s="63"/>
      <c r="AN207" s="63"/>
      <c r="AO207" s="63"/>
      <c r="AP207" s="63"/>
      <c r="AQ207" s="63"/>
      <c r="AR207" s="63"/>
      <c r="AS207" s="63"/>
      <c r="AT207" s="63"/>
      <c r="AU207" s="63"/>
      <c r="AV207" s="63"/>
      <c r="AW207" s="63"/>
      <c r="AX207" s="63"/>
      <c r="AY207" s="63"/>
      <c r="AZ207" s="63"/>
      <c r="BA207" s="63"/>
      <c r="BB207" s="63"/>
      <c r="BC207" s="63"/>
      <c r="BD207" s="63"/>
      <c r="BE207" s="63"/>
      <c r="BF207" s="63"/>
      <c r="BG207" s="63"/>
      <c r="BH207" s="63"/>
      <c r="BI207" s="63"/>
      <c r="BJ207" s="63"/>
      <c r="BK207" s="63"/>
      <c r="BL207" s="63"/>
      <c r="BM207" s="63"/>
      <c r="BN207" s="63"/>
      <c r="BO207" s="63"/>
      <c r="BP207" s="63"/>
      <c r="BQ207" s="63"/>
    </row>
    <row r="208" spans="1:69" s="116" customFormat="1" ht="14">
      <c r="A208" s="116" t="s">
        <v>69</v>
      </c>
      <c r="C208" s="495"/>
    </row>
    <row r="209" spans="1:86" s="112" customFormat="1" ht="14" hidden="1" outlineLevel="1">
      <c r="A209" s="83" t="str">
        <f>+A108</f>
        <v xml:space="preserve">     Módulo 1</v>
      </c>
      <c r="B209" s="614"/>
      <c r="C209" s="610">
        <f>SUM(D209:BQ209)</f>
        <v>599065.98577002587</v>
      </c>
      <c r="D209" s="83">
        <f>+$C$108*SUM(D131:D148)/SUM($C$131:$C$148)</f>
        <v>0</v>
      </c>
      <c r="E209" s="83">
        <f>+$C$108*SUM(E131:E148)/SUM($C$131:$C$148)</f>
        <v>0</v>
      </c>
      <c r="F209" s="83">
        <f>+$C$108*SUM(F131:F148)/SUM($C$131:$C$148)</f>
        <v>0</v>
      </c>
      <c r="G209" s="83">
        <f>+$C$108*SUM(G131:G148)/SUM($C$131:$C$148)</f>
        <v>0</v>
      </c>
      <c r="H209" s="83">
        <f>+$C$108*SUM(H131:H148)/SUM($C$131:$C$148)</f>
        <v>0</v>
      </c>
      <c r="I209" s="83">
        <f>+$C$108*SUM(I131:I148)/SUM($C$131:$C$148)</f>
        <v>0</v>
      </c>
      <c r="J209" s="83">
        <f>+$C$108*SUM(J131:J148)/SUM($C$131:$C$148)</f>
        <v>0</v>
      </c>
      <c r="K209" s="83">
        <f>+$C$108*SUM(K131:K148)/SUM($C$131:$C$148)</f>
        <v>13226.71563002067</v>
      </c>
      <c r="L209" s="83">
        <f>+$C$108*SUM(L131:L148)/SUM($C$131:$C$148)</f>
        <v>10673.995868717013</v>
      </c>
      <c r="M209" s="83">
        <f>+$C$108*SUM(M131:M148)/SUM($C$131:$C$148)</f>
        <v>9937.7591888258703</v>
      </c>
      <c r="N209" s="83">
        <f>+$C$108*SUM(N131:N148)/SUM($C$131:$C$148)</f>
        <v>8158.8662196574815</v>
      </c>
      <c r="O209" s="83">
        <f>+$C$108*SUM(O131:O148)/SUM($C$131:$C$148)</f>
        <v>8110.9433369400167</v>
      </c>
      <c r="P209" s="83">
        <f>+$C$108*SUM(P131:P148)/SUM($C$131:$C$148)</f>
        <v>8690.870121424754</v>
      </c>
      <c r="Q209" s="83">
        <f>+$C$108*SUM(Q131:Q148)/SUM($C$131:$C$148)</f>
        <v>7606.9144179590648</v>
      </c>
      <c r="R209" s="83">
        <f>+$C$108*SUM(R131:R148)/SUM($C$131:$C$148)</f>
        <v>8050.1229479607637</v>
      </c>
      <c r="S209" s="83">
        <f>+$C$108*SUM(S131:S148)/SUM($C$131:$C$148)</f>
        <v>8469.4481717385916</v>
      </c>
      <c r="T209" s="83">
        <f>+$C$108*SUM(T131:T148)/SUM($C$131:$C$148)</f>
        <v>7775.0655690303038</v>
      </c>
      <c r="U209" s="83">
        <f>+$C$108*SUM(U131:U148)/SUM($C$131:$C$148)</f>
        <v>8157.4003177105897</v>
      </c>
      <c r="V209" s="83">
        <f>+$C$108*SUM(V131:V148)/SUM($C$131:$C$148)</f>
        <v>8561.6708201084257</v>
      </c>
      <c r="W209" s="83">
        <f>+$C$108*SUM(W131:W148)/SUM($C$131:$C$148)</f>
        <v>8398.4667806317211</v>
      </c>
      <c r="X209" s="83">
        <f>+$C$108*SUM(X131:X148)/SUM($C$131:$C$148)</f>
        <v>8779.0308492704244</v>
      </c>
      <c r="Y209" s="83">
        <f>+$C$108*SUM(Y131:Y148)/SUM($C$131:$C$148)</f>
        <v>9156.4235506704699</v>
      </c>
      <c r="Z209" s="83">
        <f>+$C$108*SUM(Z131:Z148)/SUM($C$131:$C$148)</f>
        <v>9684.7733326305352</v>
      </c>
      <c r="AA209" s="83">
        <f>+$C$108*SUM(AA131:AA148)/SUM($C$131:$C$148)</f>
        <v>10134.050358106781</v>
      </c>
      <c r="AB209" s="83">
        <f>+$C$108*SUM(AB131:AB148)/SUM($C$131:$C$148)</f>
        <v>10617.887154773503</v>
      </c>
      <c r="AC209" s="83">
        <f>+$C$108*SUM(AC131:AC148)/SUM($C$131:$C$148)</f>
        <v>11267.841251629141</v>
      </c>
      <c r="AD209" s="83">
        <f>+$C$108*SUM(AD131:AD148)/SUM($C$131:$C$148)</f>
        <v>11862.520659895879</v>
      </c>
      <c r="AE209" s="83">
        <f>+$C$108*SUM(AE131:AE148)/SUM($C$131:$C$148)</f>
        <v>12516.668008989294</v>
      </c>
      <c r="AF209" s="83">
        <f>+$C$108*SUM(AF131:AF148)/SUM($C$131:$C$148)</f>
        <v>13369.295964004212</v>
      </c>
      <c r="AG209" s="83">
        <f>+$C$108*SUM(AG131:AG148)/SUM($C$131:$C$148)</f>
        <v>14218.429542154314</v>
      </c>
      <c r="AH209" s="83">
        <f>+$C$108*SUM(AH131:AH148)/SUM($C$131:$C$148)</f>
        <v>15188.867917183004</v>
      </c>
      <c r="AI209" s="83">
        <f>+$C$108*SUM(AI131:AI148)/SUM($C$131:$C$148)</f>
        <v>15566.260618583052</v>
      </c>
      <c r="AJ209" s="83">
        <f>+$C$108*SUM(AJ131:AJ148)/SUM($C$131:$C$148)</f>
        <v>16622.960182503179</v>
      </c>
      <c r="AK209" s="83">
        <f>+$C$108*SUM(AK131:AK148)/SUM($C$131:$C$148)</f>
        <v>17943.834637403339</v>
      </c>
      <c r="AL209" s="83">
        <f>+$C$108*SUM(AL131:AL148)/SUM($C$131:$C$148)</f>
        <v>19799.348752620233</v>
      </c>
      <c r="AM209" s="83">
        <f>+$C$108*SUM(AM131:AM148)/SUM($C$131:$C$148)</f>
        <v>22535.445837770563</v>
      </c>
      <c r="AN209" s="83">
        <f>+$C$108*SUM(AN131:AN148)/SUM($C$131:$C$148)</f>
        <v>83561.642762259944</v>
      </c>
      <c r="AO209" s="83">
        <f>+$C$108*SUM(AO131:AO148)/SUM($C$131:$C$148)</f>
        <v>64894.472113839853</v>
      </c>
      <c r="AP209" s="83">
        <f>+$C$108*SUM(AP131:AP148)/SUM($C$131:$C$148)</f>
        <v>64894.472113839853</v>
      </c>
      <c r="AQ209" s="83">
        <f>+$C$108*SUM(AQ131:AQ148)/SUM($C$131:$C$148)</f>
        <v>9434.8175350011516</v>
      </c>
      <c r="AR209" s="83">
        <f>+$C$108*SUM(AR131:AR148)/SUM($C$131:$C$148)</f>
        <v>9434.8175350011516</v>
      </c>
      <c r="AS209" s="83">
        <f>+$C$108*SUM(AS131:AS148)/SUM($C$131:$C$148)</f>
        <v>8491.3357815010368</v>
      </c>
      <c r="AT209" s="83">
        <f>+$C$108*SUM(AT131:AT148)/SUM($C$131:$C$148)</f>
        <v>6289.8783566674374</v>
      </c>
      <c r="AU209" s="83">
        <f>+$C$108*SUM(AU131:AU148)/SUM($C$131:$C$148)</f>
        <v>6289.8783566674374</v>
      </c>
      <c r="AV209" s="83">
        <f>+$C$108*SUM(AV131:AV148)/SUM($C$131:$C$148)</f>
        <v>6289.8783566674374</v>
      </c>
      <c r="AW209" s="83">
        <f>+$C$108*SUM(AW131:AW148)/SUM($C$131:$C$148)</f>
        <v>4402.9148496672051</v>
      </c>
      <c r="AX209" s="83">
        <f>+$C$108*SUM(AX131:AX148)/SUM($C$131:$C$148)</f>
        <v>0</v>
      </c>
      <c r="AY209" s="83">
        <f>+$C$108*SUM(AY131:AY148)/SUM($C$131:$C$148)</f>
        <v>0</v>
      </c>
      <c r="AZ209" s="83">
        <f>+$C$108*SUM(AZ131:AZ148)/SUM($C$131:$C$148)</f>
        <v>0</v>
      </c>
      <c r="BA209" s="83">
        <f>+$C$108*SUM(BA131:BA148)/SUM($C$131:$C$148)</f>
        <v>0</v>
      </c>
      <c r="BB209" s="83">
        <f>+$C$108*SUM(BB131:BB148)/SUM($C$131:$C$148)</f>
        <v>0</v>
      </c>
      <c r="BC209" s="83">
        <f>+$C$108*SUM(BC131:BC148)/SUM($C$131:$C$148)</f>
        <v>0</v>
      </c>
      <c r="BD209" s="83">
        <f>+$C$108*SUM(BD131:BD148)/SUM($C$131:$C$148)</f>
        <v>0</v>
      </c>
      <c r="BE209" s="83">
        <f>+$C$108*SUM(BE131:BE148)/SUM($C$131:$C$148)</f>
        <v>0</v>
      </c>
      <c r="BF209" s="83">
        <f>+$C$108*SUM(BF131:BF148)/SUM($C$131:$C$148)</f>
        <v>0</v>
      </c>
      <c r="BG209" s="83">
        <f>+$C$108*SUM(BG131:BG148)/SUM($C$131:$C$148)</f>
        <v>0</v>
      </c>
      <c r="BH209" s="83">
        <f>+$C$108*SUM(BH131:BH148)/SUM($C$131:$C$148)</f>
        <v>0</v>
      </c>
      <c r="BI209" s="83">
        <f>+$C$108*SUM(BI131:BI148)/SUM($C$131:$C$148)</f>
        <v>0</v>
      </c>
      <c r="BJ209" s="83">
        <f>+$C$108*SUM(BJ131:BJ148)/SUM($C$131:$C$148)</f>
        <v>0</v>
      </c>
      <c r="BK209" s="83">
        <f>+$C$108*SUM(BK131:BK148)/SUM($C$131:$C$148)</f>
        <v>0</v>
      </c>
      <c r="BL209" s="83">
        <f>+$C$108*SUM(BL131:BL148)/SUM($C$131:$C$148)</f>
        <v>0</v>
      </c>
      <c r="BM209" s="83">
        <f>+$C$108*SUM(BM131:BM148)/SUM($C$131:$C$148)</f>
        <v>0</v>
      </c>
      <c r="BN209" s="83">
        <f>+$C$108*SUM(BN131:BN148)/SUM($C$131:$C$148)</f>
        <v>0</v>
      </c>
      <c r="BO209" s="83">
        <f>+$C$108*SUM(BO131:BO148)/SUM($C$131:$C$148)</f>
        <v>0</v>
      </c>
      <c r="BP209" s="83">
        <f>+$C$108*SUM(BP131:BP148)/SUM($C$131:$C$148)</f>
        <v>0</v>
      </c>
      <c r="BQ209" s="83">
        <f>+$C$108*SUM(BQ131:BQ148)/SUM($C$131:$C$148)</f>
        <v>0</v>
      </c>
    </row>
    <row r="210" spans="1:86" s="112" customFormat="1" ht="14" hidden="1" outlineLevel="1">
      <c r="A210" s="112" t="str">
        <f>+A109</f>
        <v xml:space="preserve">     Módulo 2</v>
      </c>
      <c r="B210" s="616"/>
      <c r="C210" s="633">
        <f>SUM(D210:BQ210)</f>
        <v>585753.40830846899</v>
      </c>
      <c r="D210" s="112">
        <f>+$C$109*SUM(D150:D167)/SUM($C$150:$C$167)</f>
        <v>0</v>
      </c>
      <c r="E210" s="112">
        <f>+$C$109*SUM(E150:E167)/SUM($C$150:$C$167)</f>
        <v>0</v>
      </c>
      <c r="F210" s="112">
        <f>+$C$109*SUM(F150:F167)/SUM($C$150:$C$167)</f>
        <v>0</v>
      </c>
      <c r="G210" s="112">
        <f>+$C$109*SUM(G150:G167)/SUM($C$150:$C$167)</f>
        <v>0</v>
      </c>
      <c r="H210" s="112">
        <f>+$C$109*SUM(H150:H167)/SUM($C$150:$C$167)</f>
        <v>0</v>
      </c>
      <c r="I210" s="112">
        <f>+$C$109*SUM(I150:I167)/SUM($C$150:$C$167)</f>
        <v>0</v>
      </c>
      <c r="J210" s="112">
        <f>+$C$109*SUM(J150:J167)/SUM($C$150:$C$167)</f>
        <v>0</v>
      </c>
      <c r="K210" s="112">
        <f>+$C$109*SUM(K150:K167)/SUM($C$150:$C$167)</f>
        <v>12932.788616020192</v>
      </c>
      <c r="L210" s="112">
        <f>+$C$109*SUM(L150:L167)/SUM($C$150:$C$167)</f>
        <v>10328.491819403911</v>
      </c>
      <c r="M210" s="112">
        <f>+$C$109*SUM(M150:M167)/SUM($C$150:$C$167)</f>
        <v>9521.0711170858049</v>
      </c>
      <c r="N210" s="112">
        <f>+$C$109*SUM(N150:N167)/SUM($C$150:$C$167)</f>
        <v>7699.7708340164136</v>
      </c>
      <c r="O210" s="112">
        <f>+$C$109*SUM(O150:O167)/SUM($C$150:$C$167)</f>
        <v>7574.6638223111131</v>
      </c>
      <c r="P210" s="112">
        <f>+$C$109*SUM(P150:P167)/SUM($C$150:$C$167)</f>
        <v>8049.8088984585056</v>
      </c>
      <c r="Q210" s="112">
        <f>+$C$109*SUM(Q150:Q167)/SUM($C$150:$C$167)</f>
        <v>6889.4894125737237</v>
      </c>
      <c r="R210" s="112">
        <f>+$C$109*SUM(R150:R167)/SUM($C$150:$C$167)</f>
        <v>7242.5194791332815</v>
      </c>
      <c r="S210" s="112">
        <f>+$C$109*SUM(S150:S167)/SUM($C$150:$C$167)</f>
        <v>7564.6677462895823</v>
      </c>
      <c r="T210" s="112">
        <f>+$C$109*SUM(T150:T167)/SUM($C$150:$C$167)</f>
        <v>6790.2645296692444</v>
      </c>
      <c r="U210" s="112">
        <f>+$C$109*SUM(U150:U167)/SUM($C$150:$C$167)</f>
        <v>7085.6046543139355</v>
      </c>
      <c r="V210" s="112">
        <f>+$C$109*SUM(V150:V167)/SUM($C$150:$C$167)</f>
        <v>7394.1055494252505</v>
      </c>
      <c r="W210" s="112">
        <f>+$C$109*SUM(W150:W167)/SUM($C$150:$C$167)</f>
        <v>7138.1685132382727</v>
      </c>
      <c r="X210" s="112">
        <f>+$C$109*SUM(X150:X167)/SUM($C$150:$C$167)</f>
        <v>7420.5384726239681</v>
      </c>
      <c r="Y210" s="112">
        <f>+$C$109*SUM(Y150:Y167)/SUM($C$150:$C$167)</f>
        <v>7688.9066158417781</v>
      </c>
      <c r="Z210" s="112">
        <f>+$C$109*SUM(Z150:Z167)/SUM($C$150:$C$167)</f>
        <v>8093.0562600924095</v>
      </c>
      <c r="AA210" s="112">
        <f>+$C$109*SUM(AA150:AA167)/SUM($C$150:$C$167)</f>
        <v>8400.5614241961503</v>
      </c>
      <c r="AB210" s="112">
        <f>+$C$109*SUM(AB150:AB167)/SUM($C$150:$C$167)</f>
        <v>8724.2510706211397</v>
      </c>
      <c r="AC210" s="112">
        <f>+$C$109*SUM(AC150:AC167)/SUM($C$150:$C$167)</f>
        <v>9188.9255408223489</v>
      </c>
      <c r="AD210" s="112">
        <f>+$C$109*SUM(AD150:AD167)/SUM($C$150:$C$167)</f>
        <v>9565.1671533728077</v>
      </c>
      <c r="AE210" s="112">
        <f>+$C$109*SUM(AE150:AE167)/SUM($C$150:$C$167)</f>
        <v>9964.9238667076734</v>
      </c>
      <c r="AF210" s="112">
        <f>+$C$109*SUM(AF150:AF167)/SUM($C$150:$C$167)</f>
        <v>10514.333093239689</v>
      </c>
      <c r="AG210" s="112">
        <f>+$C$109*SUM(AG150:AG167)/SUM($C$150:$C$167)</f>
        <v>10988.769632142603</v>
      </c>
      <c r="AH210" s="112">
        <f>+$C$109*SUM(AH150:AH167)/SUM($C$150:$C$167)</f>
        <v>11499.701289422666</v>
      </c>
      <c r="AI210" s="112">
        <f>+$C$109*SUM(AI150:AI167)/SUM($C$150:$C$167)</f>
        <v>11315.198190960424</v>
      </c>
      <c r="AJ210" s="112">
        <f>+$C$109*SUM(AJ150:AJ167)/SUM($C$150:$C$167)</f>
        <v>11784.842441591592</v>
      </c>
      <c r="AK210" s="112">
        <f>+$C$109*SUM(AK150:AK167)/SUM($C$150:$C$167)</f>
        <v>12301.451117285875</v>
      </c>
      <c r="AL210" s="112">
        <f>+$C$109*SUM(AL150:AL167)/SUM($C$150:$C$167)</f>
        <v>12967.712306177316</v>
      </c>
      <c r="AM210" s="112">
        <f>+$C$109*SUM(AM150:AM167)/SUM($C$150:$C$167)</f>
        <v>13636.536038102951</v>
      </c>
      <c r="AN210" s="112">
        <f>+$C$109*SUM(AN150:AN167)/SUM($C$150:$C$167)</f>
        <v>14400.906017446538</v>
      </c>
      <c r="AO210" s="112">
        <f>+$C$109*SUM(AO150:AO167)/SUM($C$150:$C$167)</f>
        <v>15384.922542578506</v>
      </c>
      <c r="AP210" s="112">
        <f>+$C$109*SUM(AP150:AP167)/SUM($C$150:$C$167)</f>
        <v>16491.941133351975</v>
      </c>
      <c r="AQ210" s="112">
        <f>+$C$109*SUM(AQ150:AQ167)/SUM($C$150:$C$167)</f>
        <v>17875.714371818809</v>
      </c>
      <c r="AR210" s="112">
        <f>+$C$109*SUM(AR150:AR167)/SUM($C$150:$C$167)</f>
        <v>19720.745356441257</v>
      </c>
      <c r="AS210" s="112">
        <f>+$C$109*SUM(AS150:AS167)/SUM($C$150:$C$167)</f>
        <v>21565.776341063702</v>
      </c>
      <c r="AT210" s="112">
        <f>+$C$109*SUM(AT150:AT167)/SUM($C$150:$C$167)</f>
        <v>81317.836933214232</v>
      </c>
      <c r="AU210" s="112">
        <f>+$C$109*SUM(AU150:AU167)/SUM($C$150:$C$167)</f>
        <v>62212.101904980467</v>
      </c>
      <c r="AV210" s="112">
        <f>+$C$109*SUM(AV150:AV167)/SUM($C$150:$C$167)</f>
        <v>62212.101904980467</v>
      </c>
      <c r="AW210" s="112">
        <f>+$C$109*SUM(AW150:AW167)/SUM($C$150:$C$167)</f>
        <v>4305.0722974523742</v>
      </c>
      <c r="AX210" s="112">
        <f>+$C$109*SUM(AX150:AX167)/SUM($C$150:$C$167)</f>
        <v>0</v>
      </c>
      <c r="AY210" s="112">
        <f>+$C$109*SUM(AY150:AY167)/SUM($C$150:$C$167)</f>
        <v>0</v>
      </c>
      <c r="AZ210" s="112">
        <f>+$C$109*SUM(AZ150:AZ167)/SUM($C$150:$C$167)</f>
        <v>0</v>
      </c>
      <c r="BA210" s="112">
        <f>+$C$109*SUM(BA150:BA167)/SUM($C$150:$C$167)</f>
        <v>0</v>
      </c>
      <c r="BB210" s="112">
        <f>+$C$109*SUM(BB150:BB167)/SUM($C$150:$C$167)</f>
        <v>0</v>
      </c>
      <c r="BC210" s="112">
        <f>+$C$109*SUM(BC150:BC167)/SUM($C$150:$C$167)</f>
        <v>0</v>
      </c>
      <c r="BD210" s="112">
        <f>+$C$109*SUM(BD150:BD167)/SUM($C$150:$C$167)</f>
        <v>0</v>
      </c>
      <c r="BE210" s="112">
        <f>+$C$109*SUM(BE150:BE167)/SUM($C$150:$C$167)</f>
        <v>0</v>
      </c>
      <c r="BF210" s="112">
        <f>+$C$109*SUM(BF150:BF167)/SUM($C$150:$C$167)</f>
        <v>0</v>
      </c>
      <c r="BG210" s="112">
        <f>+$C$109*SUM(BG150:BG167)/SUM($C$150:$C$167)</f>
        <v>0</v>
      </c>
      <c r="BH210" s="112">
        <f>+$C$109*SUM(BH150:BH167)/SUM($C$150:$C$167)</f>
        <v>0</v>
      </c>
      <c r="BI210" s="112">
        <f>+$C$109*SUM(BI150:BI167)/SUM($C$150:$C$167)</f>
        <v>0</v>
      </c>
      <c r="BJ210" s="112">
        <f>+$C$109*SUM(BJ150:BJ167)/SUM($C$150:$C$167)</f>
        <v>0</v>
      </c>
      <c r="BK210" s="112">
        <f>+$C$109*SUM(BK150:BK167)/SUM($C$150:$C$167)</f>
        <v>0</v>
      </c>
      <c r="BL210" s="112">
        <f>+$C$109*SUM(BL150:BL167)/SUM($C$150:$C$167)</f>
        <v>0</v>
      </c>
      <c r="BM210" s="112">
        <f>+$C$109*SUM(BM150:BM167)/SUM($C$150:$C$167)</f>
        <v>0</v>
      </c>
      <c r="BN210" s="112">
        <f>+$C$109*SUM(BN150:BN167)/SUM($C$150:$C$167)</f>
        <v>0</v>
      </c>
      <c r="BO210" s="112">
        <f>+$C$109*SUM(BO150:BO167)/SUM($C$150:$C$167)</f>
        <v>0</v>
      </c>
      <c r="BP210" s="112">
        <f>+$C$109*SUM(BP150:BP167)/SUM($C$150:$C$167)</f>
        <v>0</v>
      </c>
      <c r="BQ210" s="112">
        <f>+$C$109*SUM(BQ150:BQ167)/SUM($C$150:$C$167)</f>
        <v>0</v>
      </c>
    </row>
    <row r="211" spans="1:86" s="112" customFormat="1" ht="14" hidden="1" outlineLevel="1">
      <c r="A211" s="112" t="str">
        <f>+A110</f>
        <v xml:space="preserve">     Módulo 3</v>
      </c>
      <c r="B211" s="616"/>
      <c r="C211" s="633">
        <f>SUM(D211:BQ211)</f>
        <v>585753.40830846911</v>
      </c>
      <c r="D211" s="112">
        <f>+$C$110*SUM(D169:D186)/SUM($C$169:$C$186)</f>
        <v>0</v>
      </c>
      <c r="E211" s="112">
        <f>+$C$110*SUM(E169:E186)/SUM($C$169:$C$186)</f>
        <v>0</v>
      </c>
      <c r="F211" s="112">
        <f>+$C$110*SUM(F169:F186)/SUM($C$169:$C$186)</f>
        <v>0</v>
      </c>
      <c r="G211" s="112">
        <f>+$C$110*SUM(G169:G186)/SUM($C$169:$C$186)</f>
        <v>0</v>
      </c>
      <c r="H211" s="112">
        <f>+$C$110*SUM(H169:H186)/SUM($C$169:$C$186)</f>
        <v>0</v>
      </c>
      <c r="I211" s="112">
        <f>+$C$110*SUM(I169:I186)/SUM($C$169:$C$186)</f>
        <v>0</v>
      </c>
      <c r="J211" s="112">
        <f>+$C$110*SUM(J169:J186)/SUM($C$169:$C$186)</f>
        <v>0</v>
      </c>
      <c r="K211" s="112">
        <f>+$C$110*SUM(K169:K186)/SUM($C$169:$C$186)</f>
        <v>12932.788616020198</v>
      </c>
      <c r="L211" s="112">
        <f>+$C$110*SUM(L169:L186)/SUM($C$169:$C$186)</f>
        <v>10251.886451295086</v>
      </c>
      <c r="M211" s="112">
        <f>+$C$110*SUM(M169:M186)/SUM($C$169:$C$186)</f>
        <v>9383.1843627020171</v>
      </c>
      <c r="N211" s="112">
        <f>+$C$110*SUM(N169:N186)/SUM($C$169:$C$186)</f>
        <v>7505.1575858678025</v>
      </c>
      <c r="O211" s="112">
        <f>+$C$110*SUM(O169:O186)/SUM($C$169:$C$186)</f>
        <v>7326.5117286265822</v>
      </c>
      <c r="P211" s="112">
        <f>+$C$110*SUM(P169:P186)/SUM($C$169:$C$186)</f>
        <v>7739.5659625713379</v>
      </c>
      <c r="Q211" s="112">
        <f>+$C$110*SUM(Q169:Q186)/SUM($C$169:$C$186)</f>
        <v>6512.278685392851</v>
      </c>
      <c r="R211" s="112">
        <f>+$C$110*SUM(R169:R186)/SUM($C$169:$C$186)</f>
        <v>6812.5208703825219</v>
      </c>
      <c r="S211" s="112">
        <f>+$C$110*SUM(S169:S186)/SUM($C$169:$C$186)</f>
        <v>7077.8194433347699</v>
      </c>
      <c r="T211" s="112">
        <f>+$C$110*SUM(T169:T186)/SUM($C$169:$C$186)</f>
        <v>6242.674465903815</v>
      </c>
      <c r="U211" s="112">
        <f>+$C$110*SUM(U169:U186)/SUM($C$169:$C$186)</f>
        <v>6488.953155369044</v>
      </c>
      <c r="V211" s="112">
        <f>+$C$110*SUM(V169:V186)/SUM($C$169:$C$186)</f>
        <v>6744.2627424628563</v>
      </c>
      <c r="W211" s="112">
        <f>+$C$110*SUM(W169:W186)/SUM($C$169:$C$186)</f>
        <v>6430.5098543900249</v>
      </c>
      <c r="X211" s="112">
        <f>+$C$110*SUM(X169:X186)/SUM($C$169:$C$186)</f>
        <v>6660.275289322316</v>
      </c>
      <c r="Y211" s="112">
        <f>+$C$110*SUM(Y169:Y186)/SUM($C$169:$C$186)</f>
        <v>6871.135973279168</v>
      </c>
      <c r="Z211" s="112">
        <f>+$C$110*SUM(Z169:Z186)/SUM($C$169:$C$186)</f>
        <v>7212.8083778388809</v>
      </c>
      <c r="AA211" s="112">
        <f>+$C$110*SUM(AA169:AA186)/SUM($C$169:$C$186)</f>
        <v>7449.3508117648335</v>
      </c>
      <c r="AB211" s="112">
        <f>+$C$110*SUM(AB169:AB186)/SUM($C$169:$C$186)</f>
        <v>7695.3549430478279</v>
      </c>
      <c r="AC211" s="112">
        <f>+$C$110*SUM(AC169:AC186)/SUM($C$169:$C$186)</f>
        <v>8074.6113121091093</v>
      </c>
      <c r="AD211" s="112">
        <f>+$C$110*SUM(AD169:AD186)/SUM($C$169:$C$186)</f>
        <v>8352.702938776838</v>
      </c>
      <c r="AE211" s="112">
        <f>+$C$110*SUM(AE169:AE186)/SUM($C$169:$C$186)</f>
        <v>8643.4350939294673</v>
      </c>
      <c r="AF211" s="112">
        <f>+$C$110*SUM(AF169:AF186)/SUM($C$169:$C$186)</f>
        <v>9071.0137030641908</v>
      </c>
      <c r="AG211" s="112">
        <f>+$C$110*SUM(AG169:AG186)/SUM($C$169:$C$186)</f>
        <v>9403.1192802962305</v>
      </c>
      <c r="AH211" s="112">
        <f>+$C$110*SUM(AH169:AH186)/SUM($C$169:$C$186)</f>
        <v>9752.7040984352225</v>
      </c>
      <c r="AI211" s="112">
        <f>+$C$110*SUM(AI169:AI186)/SUM($C$169:$C$186)</f>
        <v>9383.6979015107354</v>
      </c>
      <c r="AJ211" s="112">
        <f>+$C$110*SUM(AJ169:AJ186)/SUM($C$169:$C$186)</f>
        <v>9687.5853578014885</v>
      </c>
      <c r="AK211" s="112">
        <f>+$C$110*SUM(AK169:AK186)/SUM($C$169:$C$186)</f>
        <v>10010.465780110419</v>
      </c>
      <c r="AL211" s="112">
        <f>+$C$110*SUM(AL169:AL186)/SUM($C$169:$C$186)</f>
        <v>10447.123113137728</v>
      </c>
      <c r="AM211" s="112">
        <f>+$C$110*SUM(AM169:AM186)/SUM($C$169:$C$186)</f>
        <v>10829.308102809522</v>
      </c>
      <c r="AN211" s="112">
        <f>+$C$110*SUM(AN169:AN186)/SUM($C$169:$C$186)</f>
        <v>11240.891937840684</v>
      </c>
      <c r="AO211" s="112">
        <f>+$C$110*SUM(AO169:AO186)/SUM($C$169:$C$186)</f>
        <v>11779.025975022232</v>
      </c>
      <c r="AP211" s="112">
        <f>+$C$110*SUM(AP169:AP186)/SUM($C$169:$C$186)</f>
        <v>12282.216243555627</v>
      </c>
      <c r="AQ211" s="112">
        <f>+$C$110*SUM(AQ169:AQ186)/SUM($C$169:$C$186)</f>
        <v>12835.725538942361</v>
      </c>
      <c r="AR211" s="112">
        <f>+$C$110*SUM(AR169:AR186)/SUM($C$169:$C$186)</f>
        <v>13450.735867149842</v>
      </c>
      <c r="AS211" s="112">
        <f>+$C$110*SUM(AS169:AS186)/SUM($C$169:$C$186)</f>
        <v>13220.106994072037</v>
      </c>
      <c r="AT211" s="112">
        <f>+$C$110*SUM(AT169:AT186)/SUM($C$169:$C$186)</f>
        <v>13747.258703964164</v>
      </c>
      <c r="AU211" s="112">
        <f>+$C$110*SUM(AU169:AU186)/SUM($C$169:$C$186)</f>
        <v>14362.269032171649</v>
      </c>
      <c r="AV211" s="112">
        <f>+$C$110*SUM(AV169:AV186)/SUM($C$169:$C$186)</f>
        <v>15100.281426020625</v>
      </c>
      <c r="AW211" s="112">
        <f>+$C$110*SUM(AW169:AW186)/SUM($C$169:$C$186)</f>
        <v>14177.765933709403</v>
      </c>
      <c r="AX211" s="112">
        <f>+$C$110*SUM(AX169:AX186)/SUM($C$169:$C$186)</f>
        <v>14177.765933709403</v>
      </c>
      <c r="AY211" s="112">
        <f>+$C$110*SUM(AY169:AY186)/SUM($C$169:$C$186)</f>
        <v>14177.765933709403</v>
      </c>
      <c r="AZ211" s="112">
        <f>+$C$110*SUM(AZ169:AZ186)/SUM($C$169:$C$186)</f>
        <v>70854.774884822546</v>
      </c>
      <c r="BA211" s="112">
        <f>+$C$110*SUM(BA169:BA186)/SUM($C$169:$C$186)</f>
        <v>56677.008951113145</v>
      </c>
      <c r="BB211" s="112">
        <f>+$C$110*SUM(BB169:BB186)/SUM($C$169:$C$186)</f>
        <v>56677.008951113145</v>
      </c>
      <c r="BC211" s="112">
        <f>+$C$110*SUM(BC169:BC186)/SUM($C$169:$C$186)</f>
        <v>0</v>
      </c>
      <c r="BD211" s="112">
        <f>+$C$110*SUM(BD169:BD186)/SUM($C$169:$C$186)</f>
        <v>0</v>
      </c>
      <c r="BE211" s="112">
        <f>+$C$110*SUM(BE169:BE186)/SUM($C$169:$C$186)</f>
        <v>0</v>
      </c>
      <c r="BF211" s="112">
        <f>+$C$110*SUM(BF169:BF186)/SUM($C$169:$C$186)</f>
        <v>0</v>
      </c>
      <c r="BG211" s="112">
        <f>+$C$110*SUM(BG169:BG186)/SUM($C$169:$C$186)</f>
        <v>0</v>
      </c>
      <c r="BH211" s="112">
        <f>+$C$110*SUM(BH169:BH186)/SUM($C$169:$C$186)</f>
        <v>0</v>
      </c>
      <c r="BI211" s="112">
        <f>+$C$110*SUM(BI169:BI186)/SUM($C$169:$C$186)</f>
        <v>0</v>
      </c>
      <c r="BJ211" s="112">
        <f>+$C$110*SUM(BJ169:BJ186)/SUM($C$169:$C$186)</f>
        <v>0</v>
      </c>
      <c r="BK211" s="112">
        <f>+$C$110*SUM(BK169:BK186)/SUM($C$169:$C$186)</f>
        <v>0</v>
      </c>
      <c r="BL211" s="112">
        <f>+$C$110*SUM(BL169:BL186)/SUM($C$169:$C$186)</f>
        <v>0</v>
      </c>
      <c r="BM211" s="112">
        <f>+$C$110*SUM(BM169:BM186)/SUM($C$169:$C$186)</f>
        <v>0</v>
      </c>
      <c r="BN211" s="112">
        <f>+$C$110*SUM(BN169:BN186)/SUM($C$169:$C$186)</f>
        <v>0</v>
      </c>
      <c r="BO211" s="112">
        <f>+$C$110*SUM(BO169:BO186)/SUM($C$169:$C$186)</f>
        <v>0</v>
      </c>
      <c r="BP211" s="112">
        <f>+$C$110*SUM(BP169:BP186)/SUM($C$169:$C$186)</f>
        <v>0</v>
      </c>
      <c r="BQ211" s="112">
        <f>+$C$110*SUM(BQ169:BQ186)/SUM($C$169:$C$186)</f>
        <v>0</v>
      </c>
    </row>
    <row r="212" spans="1:86" s="112" customFormat="1" ht="14" hidden="1" outlineLevel="1">
      <c r="A212" s="112" t="str">
        <f>+A111</f>
        <v xml:space="preserve">     Módulo 4</v>
      </c>
      <c r="B212" s="616"/>
      <c r="C212" s="633">
        <f>SUM(D212:BQ212)</f>
        <v>359439.59146201529</v>
      </c>
      <c r="D212" s="112">
        <f>+$C$111*SUM(D188:D205)/SUM($C$188:$C$205)</f>
        <v>0</v>
      </c>
      <c r="E212" s="112">
        <f>+$C$111*SUM(E188:E205)/SUM($C$188:$C$205)</f>
        <v>0</v>
      </c>
      <c r="F212" s="112">
        <f>+$C$111*SUM(F188:F205)/SUM($C$188:$C$205)</f>
        <v>0</v>
      </c>
      <c r="G212" s="112">
        <f>+$C$111*SUM(G188:G205)/SUM($C$188:$C$205)</f>
        <v>0</v>
      </c>
      <c r="H212" s="112">
        <f>+$C$111*SUM(H188:H205)/SUM($C$188:$C$205)</f>
        <v>0</v>
      </c>
      <c r="I212" s="112">
        <f>+$C$111*SUM(I188:I205)/SUM($C$188:$C$205)</f>
        <v>0</v>
      </c>
      <c r="J212" s="112">
        <f>+$C$111*SUM(J188:J205)/SUM($C$188:$C$205)</f>
        <v>0</v>
      </c>
      <c r="K212" s="112">
        <f>+$C$111*SUM(K188:K205)/SUM($C$188:$C$205)</f>
        <v>7936.0293780123957</v>
      </c>
      <c r="L212" s="112">
        <f>+$C$111*SUM(L188:L205)/SUM($C$188:$C$205)</f>
        <v>6255.9244844442064</v>
      </c>
      <c r="M212" s="112">
        <f>+$C$111*SUM(M188:M205)/SUM($C$188:$C$205)</f>
        <v>5695.0626728666339</v>
      </c>
      <c r="N212" s="112">
        <f>+$C$111*SUM(N188:N205)/SUM($C$188:$C$205)</f>
        <v>4517.1102285241968</v>
      </c>
      <c r="O212" s="112">
        <f>+$C$111*SUM(O188:O205)/SUM($C$188:$C$205)</f>
        <v>4383.593265225848</v>
      </c>
      <c r="P212" s="112">
        <f>+$C$111*SUM(P188:P205)/SUM($C$188:$C$205)</f>
        <v>4609.5900573433173</v>
      </c>
      <c r="Q212" s="112">
        <f>+$C$111*SUM(Q188:Q205)/SUM($C$188:$C$205)</f>
        <v>3827.1291897738888</v>
      </c>
      <c r="R212" s="112">
        <f>+$C$111*SUM(R188:R205)/SUM($C$188:$C$205)</f>
        <v>3988.4568990390467</v>
      </c>
      <c r="S212" s="112">
        <f>+$C$111*SUM(S188:S205)/SUM($C$188:$C$205)</f>
        <v>4126.83422288573</v>
      </c>
      <c r="T212" s="112">
        <f>+$C$111*SUM(T188:T205)/SUM($C$188:$C$205)</f>
        <v>3588.5542666702677</v>
      </c>
      <c r="U212" s="112">
        <f>+$C$111*SUM(U188:U205)/SUM($C$188:$C$205)</f>
        <v>3719.0810656507347</v>
      </c>
      <c r="V212" s="112">
        <f>+$C$111*SUM(V188:V205)/SUM($C$188:$C$205)</f>
        <v>3853.6941765812658</v>
      </c>
      <c r="W212" s="112">
        <f>+$C$111*SUM(W188:W205)/SUM($C$188:$C$205)</f>
        <v>3637.5120558559961</v>
      </c>
      <c r="X212" s="112">
        <f>+$C$111*SUM(X188:X205)/SUM($C$188:$C$205)</f>
        <v>3757.2918781452527</v>
      </c>
      <c r="Y212" s="112">
        <f>+$C$111*SUM(Y188:Y205)/SUM($C$188:$C$205)</f>
        <v>3863.8498173640887</v>
      </c>
      <c r="Z212" s="112">
        <f>+$C$111*SUM(Z188:Z205)/SUM($C$188:$C$205)</f>
        <v>4049.1153253241109</v>
      </c>
      <c r="AA212" s="112">
        <f>+$C$111*SUM(AA188:AA205)/SUM($C$188:$C$205)</f>
        <v>4167.050544511625</v>
      </c>
      <c r="AB212" s="112">
        <f>+$C$111*SUM(AB188:AB205)/SUM($C$188:$C$205)</f>
        <v>4288.7901256084151</v>
      </c>
      <c r="AC212" s="112">
        <f>+$C$111*SUM(AC188:AC205)/SUM($C$188:$C$205)</f>
        <v>4490.066233021772</v>
      </c>
      <c r="AD212" s="112">
        <f>+$C$111*SUM(AD188:AD205)/SUM($C$188:$C$205)</f>
        <v>4625.4070638686853</v>
      </c>
      <c r="AE212" s="112">
        <f>+$C$111*SUM(AE188:AE205)/SUM($C$188:$C$205)</f>
        <v>4765.5814958172741</v>
      </c>
      <c r="AF212" s="112">
        <f>+$C$111*SUM(AF188:AF205)/SUM($C$188:$C$205)</f>
        <v>4986.4261136735968</v>
      </c>
      <c r="AG212" s="112">
        <f>+$C$111*SUM(AG188:AG205)/SUM($C$188:$C$205)</f>
        <v>5143.1892357936158</v>
      </c>
      <c r="AH212" s="112">
        <f>+$C$111*SUM(AH188:AH205)/SUM($C$188:$C$205)</f>
        <v>5306.2228827984354</v>
      </c>
      <c r="AI212" s="112">
        <f>+$C$111*SUM(AI188:AI205)/SUM($C$188:$C$205)</f>
        <v>5023.1783567484008</v>
      </c>
      <c r="AJ212" s="112">
        <f>+$C$111*SUM(AJ188:AJ205)/SUM($C$188:$C$205)</f>
        <v>5161.0087346510263</v>
      </c>
      <c r="AK212" s="112">
        <f>+$C$111*SUM(AK188:AK205)/SUM($C$188:$C$205)</f>
        <v>5305.1041297310448</v>
      </c>
      <c r="AL212" s="112">
        <f>+$C$111*SUM(AL188:AL205)/SUM($C$188:$C$205)</f>
        <v>5512.6701155010696</v>
      </c>
      <c r="AM212" s="112">
        <f>+$C$111*SUM(AM188:AM205)/SUM($C$188:$C$205)</f>
        <v>5676.8359406100899</v>
      </c>
      <c r="AN212" s="112">
        <f>+$C$111*SUM(AN188:AN205)/SUM($C$188:$C$205)</f>
        <v>5849.6420723037954</v>
      </c>
      <c r="AO212" s="112">
        <f>+$C$111*SUM(AO188:AO205)/SUM($C$188:$C$205)</f>
        <v>6088.6574498571581</v>
      </c>
      <c r="AP212" s="112">
        <f>+$C$111*SUM(AP188:AP205)/SUM($C$188:$C$205)</f>
        <v>6288.4535858924773</v>
      </c>
      <c r="AQ212" s="112">
        <f>+$C$111*SUM(AQ188:AQ205)/SUM($C$188:$C$205)</f>
        <v>6500.7369804300024</v>
      </c>
      <c r="AR212" s="112">
        <f>+$C$111*SUM(AR188:AR205)/SUM($C$188:$C$205)</f>
        <v>6727.1726012700301</v>
      </c>
      <c r="AS212" s="112">
        <f>+$C$111*SUM(AS188:AS205)/SUM($C$188:$C$205)</f>
        <v>6403.6931429271344</v>
      </c>
      <c r="AT212" s="112">
        <f>+$C$111*SUM(AT188:AT205)/SUM($C$188:$C$205)</f>
        <v>6577.8743897271561</v>
      </c>
      <c r="AU212" s="112">
        <f>+$C$111*SUM(AU188:AU205)/SUM($C$188:$C$205)</f>
        <v>6766.5707404271789</v>
      </c>
      <c r="AV212" s="112">
        <f>+$C$111*SUM(AV188:AV205)/SUM($C$188:$C$205)</f>
        <v>6972.4213048272031</v>
      </c>
      <c r="AW212" s="112">
        <f>+$C$111*SUM(AW188:AW205)/SUM($C$188:$C$205)</f>
        <v>6066.6788214670933</v>
      </c>
      <c r="AX212" s="112">
        <f>+$C$111*SUM(AX188:AX205)/SUM($C$188:$C$205)</f>
        <v>6066.6788214670933</v>
      </c>
      <c r="AY212" s="112">
        <f>+$C$111*SUM(AY188:AY205)/SUM($C$188:$C$205)</f>
        <v>6066.6788214670933</v>
      </c>
      <c r="AZ212" s="112">
        <f>+$C$111*SUM(AZ188:AZ205)/SUM($C$188:$C$205)</f>
        <v>6066.6788214670933</v>
      </c>
      <c r="BA212" s="112">
        <f>+$C$111*SUM(BA188:BA205)/SUM($C$188:$C$205)</f>
        <v>6066.6788214670933</v>
      </c>
      <c r="BB212" s="112">
        <f>+$C$111*SUM(BB188:BB205)/SUM($C$188:$C$205)</f>
        <v>6066.6788214670933</v>
      </c>
      <c r="BC212" s="112">
        <f>+$C$111*SUM(BC188:BC205)/SUM($C$188:$C$205)</f>
        <v>6066.6788214670933</v>
      </c>
      <c r="BD212" s="112">
        <f>+$C$111*SUM(BD188:BD205)/SUM($C$188:$C$205)</f>
        <v>6066.6788214670933</v>
      </c>
      <c r="BE212" s="112">
        <f>+$C$111*SUM(BE188:BE205)/SUM($C$188:$C$205)</f>
        <v>6066.6788214670933</v>
      </c>
      <c r="BF212" s="112">
        <f>+$C$111*SUM(BF188:BF205)/SUM($C$188:$C$205)</f>
        <v>40845.752496013796</v>
      </c>
      <c r="BG212" s="112">
        <f>+$C$111*SUM(BG188:BG205)/SUM($C$188:$C$205)</f>
        <v>34779.073674546707</v>
      </c>
      <c r="BH212" s="112">
        <f>+$C$111*SUM(BH188:BH205)/SUM($C$188:$C$205)</f>
        <v>34779.073674546707</v>
      </c>
      <c r="BI212" s="112">
        <f>+$C$111*SUM(BI188:BI205)/SUM($C$188:$C$205)</f>
        <v>0</v>
      </c>
      <c r="BJ212" s="112">
        <f>+$C$111*SUM(BJ188:BJ205)/SUM($C$188:$C$205)</f>
        <v>0</v>
      </c>
      <c r="BK212" s="112">
        <f>+$C$111*SUM(BK188:BK205)/SUM($C$188:$C$205)</f>
        <v>0</v>
      </c>
      <c r="BL212" s="112">
        <f>+$C$111*SUM(BL188:BL205)/SUM($C$188:$C$205)</f>
        <v>0</v>
      </c>
      <c r="BM212" s="112">
        <f>+$C$111*SUM(BM188:BM205)/SUM($C$188:$C$205)</f>
        <v>0</v>
      </c>
      <c r="BN212" s="112">
        <f>+$C$111*SUM(BN188:BN205)/SUM($C$188:$C$205)</f>
        <v>0</v>
      </c>
      <c r="BO212" s="112">
        <f>+$C$111*SUM(BO188:BO205)/SUM($C$188:$C$205)</f>
        <v>0</v>
      </c>
      <c r="BP212" s="112">
        <f>+$C$111*SUM(BP188:BP205)/SUM($C$188:$C$205)</f>
        <v>0</v>
      </c>
      <c r="BQ212" s="112">
        <f>+$C$111*SUM(BQ188:BQ205)/SUM($C$188:$C$205)</f>
        <v>0</v>
      </c>
    </row>
    <row r="213" spans="1:86" s="112" customFormat="1" ht="14" collapsed="1">
      <c r="A213" s="89" t="s">
        <v>89</v>
      </c>
      <c r="B213" s="634"/>
      <c r="C213" s="607">
        <f>SUM(D213:BQ213)</f>
        <v>2130012.3938489789</v>
      </c>
      <c r="D213" s="89">
        <f t="shared" ref="D213" si="121">SUM(D209:D212)</f>
        <v>0</v>
      </c>
      <c r="E213" s="89">
        <f t="shared" ref="E213:BP213" si="122">SUM(E209:E212)</f>
        <v>0</v>
      </c>
      <c r="F213" s="89">
        <f t="shared" si="122"/>
        <v>0</v>
      </c>
      <c r="G213" s="89">
        <f t="shared" si="122"/>
        <v>0</v>
      </c>
      <c r="H213" s="89">
        <f t="shared" si="122"/>
        <v>0</v>
      </c>
      <c r="I213" s="89">
        <f t="shared" si="122"/>
        <v>0</v>
      </c>
      <c r="J213" s="89">
        <f t="shared" si="122"/>
        <v>0</v>
      </c>
      <c r="K213" s="89">
        <f t="shared" si="122"/>
        <v>47028.322240073459</v>
      </c>
      <c r="L213" s="89">
        <f t="shared" si="122"/>
        <v>37510.298623860217</v>
      </c>
      <c r="M213" s="89">
        <f t="shared" si="122"/>
        <v>34537.077341480326</v>
      </c>
      <c r="N213" s="89">
        <f t="shared" si="122"/>
        <v>27880.904868065893</v>
      </c>
      <c r="O213" s="89">
        <f t="shared" si="122"/>
        <v>27395.712153103559</v>
      </c>
      <c r="P213" s="89">
        <f t="shared" si="122"/>
        <v>29089.835039797916</v>
      </c>
      <c r="Q213" s="89">
        <f t="shared" si="122"/>
        <v>24835.811705699529</v>
      </c>
      <c r="R213" s="89">
        <f t="shared" si="122"/>
        <v>26093.620196515614</v>
      </c>
      <c r="S213" s="89">
        <f t="shared" si="122"/>
        <v>27238.769584248672</v>
      </c>
      <c r="T213" s="89">
        <f t="shared" si="122"/>
        <v>24396.558831273633</v>
      </c>
      <c r="U213" s="89">
        <f t="shared" si="122"/>
        <v>25451.039193044304</v>
      </c>
      <c r="V213" s="89">
        <f t="shared" si="122"/>
        <v>26553.733288577798</v>
      </c>
      <c r="W213" s="89">
        <f t="shared" si="122"/>
        <v>25604.657204116014</v>
      </c>
      <c r="X213" s="89">
        <f t="shared" si="122"/>
        <v>26617.136489361961</v>
      </c>
      <c r="Y213" s="89">
        <f t="shared" si="122"/>
        <v>27580.315957155504</v>
      </c>
      <c r="Z213" s="89">
        <f t="shared" si="122"/>
        <v>29039.753295885934</v>
      </c>
      <c r="AA213" s="89">
        <f t="shared" si="122"/>
        <v>30151.01313857939</v>
      </c>
      <c r="AB213" s="89">
        <f t="shared" si="122"/>
        <v>31326.283294050885</v>
      </c>
      <c r="AC213" s="89">
        <f t="shared" si="122"/>
        <v>33021.444337582376</v>
      </c>
      <c r="AD213" s="89">
        <f t="shared" si="122"/>
        <v>34405.797815914208</v>
      </c>
      <c r="AE213" s="89">
        <f t="shared" si="122"/>
        <v>35890.608465443715</v>
      </c>
      <c r="AF213" s="89">
        <f t="shared" si="122"/>
        <v>37941.068873981691</v>
      </c>
      <c r="AG213" s="89">
        <f t="shared" si="122"/>
        <v>39753.507690386767</v>
      </c>
      <c r="AH213" s="89">
        <f t="shared" si="122"/>
        <v>41747.49618783933</v>
      </c>
      <c r="AI213" s="89">
        <f t="shared" si="122"/>
        <v>41288.335067802611</v>
      </c>
      <c r="AJ213" s="89">
        <f t="shared" si="122"/>
        <v>43256.396716547286</v>
      </c>
      <c r="AK213" s="89">
        <f t="shared" si="122"/>
        <v>45560.855664530674</v>
      </c>
      <c r="AL213" s="89">
        <f t="shared" si="122"/>
        <v>48726.854287436348</v>
      </c>
      <c r="AM213" s="89">
        <f t="shared" si="122"/>
        <v>52678.125919293132</v>
      </c>
      <c r="AN213" s="89">
        <f t="shared" si="122"/>
        <v>115053.08278985097</v>
      </c>
      <c r="AO213" s="89">
        <f t="shared" si="122"/>
        <v>98147.078081297746</v>
      </c>
      <c r="AP213" s="89">
        <f t="shared" si="122"/>
        <v>99957.08307663993</v>
      </c>
      <c r="AQ213" s="89">
        <f t="shared" si="122"/>
        <v>46646.994426192323</v>
      </c>
      <c r="AR213" s="89">
        <f t="shared" si="122"/>
        <v>49333.471359862284</v>
      </c>
      <c r="AS213" s="89">
        <f t="shared" si="122"/>
        <v>49680.912259563906</v>
      </c>
      <c r="AT213" s="89">
        <f t="shared" si="122"/>
        <v>107932.848383573</v>
      </c>
      <c r="AU213" s="89">
        <f t="shared" si="122"/>
        <v>89630.820034246732</v>
      </c>
      <c r="AV213" s="89">
        <f t="shared" si="122"/>
        <v>90574.682992495727</v>
      </c>
      <c r="AW213" s="89">
        <f t="shared" si="122"/>
        <v>28952.431902296074</v>
      </c>
      <c r="AX213" s="89">
        <f t="shared" si="122"/>
        <v>20244.444755176497</v>
      </c>
      <c r="AY213" s="89">
        <f t="shared" si="122"/>
        <v>20244.444755176497</v>
      </c>
      <c r="AZ213" s="89">
        <f t="shared" si="122"/>
        <v>76921.453706289642</v>
      </c>
      <c r="BA213" s="89">
        <f t="shared" si="122"/>
        <v>62743.687772580241</v>
      </c>
      <c r="BB213" s="89">
        <f t="shared" si="122"/>
        <v>62743.687772580241</v>
      </c>
      <c r="BC213" s="89">
        <f t="shared" si="122"/>
        <v>6066.6788214670933</v>
      </c>
      <c r="BD213" s="89">
        <f t="shared" si="122"/>
        <v>6066.6788214670933</v>
      </c>
      <c r="BE213" s="89">
        <f t="shared" si="122"/>
        <v>6066.6788214670933</v>
      </c>
      <c r="BF213" s="89">
        <f t="shared" si="122"/>
        <v>40845.752496013796</v>
      </c>
      <c r="BG213" s="89">
        <f t="shared" si="122"/>
        <v>34779.073674546707</v>
      </c>
      <c r="BH213" s="89">
        <f t="shared" si="122"/>
        <v>34779.073674546707</v>
      </c>
      <c r="BI213" s="89">
        <f t="shared" si="122"/>
        <v>0</v>
      </c>
      <c r="BJ213" s="89">
        <f t="shared" si="122"/>
        <v>0</v>
      </c>
      <c r="BK213" s="89">
        <f t="shared" si="122"/>
        <v>0</v>
      </c>
      <c r="BL213" s="89">
        <f t="shared" si="122"/>
        <v>0</v>
      </c>
      <c r="BM213" s="89">
        <f t="shared" si="122"/>
        <v>0</v>
      </c>
      <c r="BN213" s="89">
        <f t="shared" si="122"/>
        <v>0</v>
      </c>
      <c r="BO213" s="89">
        <f t="shared" si="122"/>
        <v>0</v>
      </c>
      <c r="BP213" s="89">
        <f t="shared" si="122"/>
        <v>0</v>
      </c>
      <c r="BQ213" s="89">
        <f t="shared" ref="BQ213" si="123">SUM(BQ209:BQ212)</f>
        <v>0</v>
      </c>
    </row>
    <row r="214" spans="1:86" s="112" customFormat="1" ht="6" customHeight="1">
      <c r="A214" s="63"/>
      <c r="B214" s="63"/>
      <c r="C214" s="152"/>
      <c r="D214" s="63"/>
      <c r="E214" s="63"/>
      <c r="F214" s="63"/>
      <c r="G214" s="63"/>
      <c r="H214" s="63"/>
      <c r="I214" s="63"/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  <c r="Z214" s="63"/>
      <c r="AA214" s="63"/>
      <c r="AB214" s="63"/>
      <c r="AC214" s="63"/>
      <c r="AD214" s="63"/>
      <c r="AE214" s="63"/>
      <c r="AF214" s="63"/>
      <c r="AG214" s="63"/>
      <c r="AH214" s="63"/>
      <c r="AI214" s="63"/>
      <c r="AJ214" s="63"/>
      <c r="AK214" s="63"/>
      <c r="AL214" s="63"/>
      <c r="AM214" s="63"/>
      <c r="AN214" s="63"/>
      <c r="AO214" s="63"/>
      <c r="AP214" s="63"/>
      <c r="AQ214" s="63"/>
      <c r="AR214" s="63"/>
      <c r="AS214" s="63"/>
      <c r="AT214" s="63"/>
      <c r="AU214" s="63"/>
      <c r="AV214" s="63"/>
      <c r="AW214" s="63"/>
      <c r="AX214" s="63"/>
      <c r="AY214" s="63"/>
      <c r="AZ214" s="63"/>
      <c r="BA214" s="63"/>
      <c r="BB214" s="63"/>
      <c r="BC214" s="63"/>
      <c r="BD214" s="63"/>
      <c r="BE214" s="63"/>
      <c r="BF214" s="63"/>
      <c r="BG214" s="63"/>
      <c r="BH214" s="63"/>
      <c r="BI214" s="63"/>
      <c r="BJ214" s="63"/>
      <c r="BK214" s="63"/>
      <c r="BL214" s="63"/>
      <c r="BM214" s="63"/>
      <c r="BN214" s="63"/>
      <c r="BO214" s="63"/>
      <c r="BP214" s="63"/>
      <c r="BQ214" s="63"/>
    </row>
    <row r="215" spans="1:86" s="112" customFormat="1" ht="14">
      <c r="A215" s="111" t="s">
        <v>99</v>
      </c>
      <c r="B215" s="673">
        <v>1.4999999999999999E-2</v>
      </c>
      <c r="C215" s="607">
        <f>SUM(D215:BQ215)</f>
        <v>431408.07380078034</v>
      </c>
      <c r="D215" s="129">
        <f t="shared" ref="D215:BO215" si="124">+$B$215*D206</f>
        <v>0</v>
      </c>
      <c r="E215" s="129">
        <f t="shared" si="124"/>
        <v>0</v>
      </c>
      <c r="F215" s="129">
        <f t="shared" si="124"/>
        <v>0</v>
      </c>
      <c r="G215" s="129">
        <f t="shared" si="124"/>
        <v>0</v>
      </c>
      <c r="H215" s="129">
        <f t="shared" si="124"/>
        <v>0</v>
      </c>
      <c r="I215" s="129">
        <f t="shared" si="124"/>
        <v>0</v>
      </c>
      <c r="J215" s="129">
        <f t="shared" si="124"/>
        <v>0</v>
      </c>
      <c r="K215" s="129">
        <f t="shared" si="124"/>
        <v>9525.0140188202913</v>
      </c>
      <c r="L215" s="129">
        <f t="shared" si="124"/>
        <v>7597.8089013429735</v>
      </c>
      <c r="M215" s="129">
        <f t="shared" si="124"/>
        <v>6996.0567111218998</v>
      </c>
      <c r="N215" s="129">
        <f t="shared" si="124"/>
        <v>5648.3290519479224</v>
      </c>
      <c r="O215" s="129">
        <f t="shared" si="124"/>
        <v>5550.4297288046155</v>
      </c>
      <c r="P215" s="129">
        <f t="shared" si="124"/>
        <v>5893.9759568838635</v>
      </c>
      <c r="Q215" s="129">
        <f t="shared" si="124"/>
        <v>5032.8221474811644</v>
      </c>
      <c r="R215" s="129">
        <f t="shared" si="124"/>
        <v>5287.9208714262822</v>
      </c>
      <c r="S215" s="129">
        <f t="shared" si="124"/>
        <v>5520.2199858894419</v>
      </c>
      <c r="T215" s="129">
        <f t="shared" si="124"/>
        <v>4944.9430122203394</v>
      </c>
      <c r="U215" s="129">
        <f t="shared" si="124"/>
        <v>5158.8121711566582</v>
      </c>
      <c r="V215" s="129">
        <f t="shared" si="124"/>
        <v>5382.4614522952315</v>
      </c>
      <c r="W215" s="129">
        <f t="shared" si="124"/>
        <v>5190.5649544934349</v>
      </c>
      <c r="X215" s="129">
        <f t="shared" si="124"/>
        <v>5395.9162954074673</v>
      </c>
      <c r="Y215" s="129">
        <f t="shared" si="124"/>
        <v>5591.2949712724867</v>
      </c>
      <c r="Z215" s="129">
        <f t="shared" si="124"/>
        <v>5887.1932496009922</v>
      </c>
      <c r="AA215" s="129">
        <f t="shared" si="124"/>
        <v>6112.5923023929863</v>
      </c>
      <c r="AB215" s="129">
        <f t="shared" si="124"/>
        <v>6350.9599064386584</v>
      </c>
      <c r="AC215" s="129">
        <f t="shared" si="124"/>
        <v>6694.6242945317854</v>
      </c>
      <c r="AD215" s="129">
        <f t="shared" si="124"/>
        <v>6975.3429374397192</v>
      </c>
      <c r="AE215" s="129">
        <f t="shared" si="124"/>
        <v>7276.3870274326182</v>
      </c>
      <c r="AF215" s="129">
        <f t="shared" si="124"/>
        <v>7691.9563194575594</v>
      </c>
      <c r="AG215" s="129">
        <f t="shared" si="124"/>
        <v>8059.2537219778187</v>
      </c>
      <c r="AH215" s="129">
        <f t="shared" si="124"/>
        <v>8463.1946941726073</v>
      </c>
      <c r="AI215" s="129">
        <f t="shared" si="124"/>
        <v>8370.0621348371005</v>
      </c>
      <c r="AJ215" s="129">
        <f t="shared" si="124"/>
        <v>8768.2668338589574</v>
      </c>
      <c r="AK215" s="129">
        <f t="shared" si="124"/>
        <v>9234.0580361273587</v>
      </c>
      <c r="AL215" s="129">
        <f t="shared" si="124"/>
        <v>9873.2467128355438</v>
      </c>
      <c r="AM215" s="129">
        <f t="shared" si="124"/>
        <v>10668.727666860414</v>
      </c>
      <c r="AN215" s="129">
        <f t="shared" si="124"/>
        <v>23081.185190637221</v>
      </c>
      <c r="AO215" s="129">
        <f t="shared" si="124"/>
        <v>19734.484141912275</v>
      </c>
      <c r="AP215" s="129">
        <f t="shared" si="124"/>
        <v>20110.763463796487</v>
      </c>
      <c r="AQ215" s="129">
        <f t="shared" si="124"/>
        <v>9532.3791348480154</v>
      </c>
      <c r="AR215" s="129">
        <f t="shared" si="124"/>
        <v>10093.744698240786</v>
      </c>
      <c r="AS215" s="129">
        <f t="shared" si="124"/>
        <v>10190.973371227092</v>
      </c>
      <c r="AT215" s="129">
        <f t="shared" si="124"/>
        <v>22625.638776777909</v>
      </c>
      <c r="AU215" s="129">
        <f t="shared" si="124"/>
        <v>18715.671389956748</v>
      </c>
      <c r="AV215" s="129">
        <f t="shared" si="124"/>
        <v>18905.051562251858</v>
      </c>
      <c r="AW215" s="129">
        <f t="shared" si="124"/>
        <v>5831.399139884943</v>
      </c>
      <c r="AX215" s="129">
        <f t="shared" si="124"/>
        <v>4038.7083065151096</v>
      </c>
      <c r="AY215" s="129">
        <f t="shared" si="124"/>
        <v>4038.7083065151096</v>
      </c>
      <c r="AZ215" s="129">
        <f t="shared" si="124"/>
        <v>15584.331004385867</v>
      </c>
      <c r="BA215" s="129">
        <f t="shared" si="124"/>
        <v>12696.191012550269</v>
      </c>
      <c r="BB215" s="129">
        <f t="shared" si="124"/>
        <v>12696.191012550269</v>
      </c>
      <c r="BC215" s="129">
        <f t="shared" si="124"/>
        <v>1150.5683146795111</v>
      </c>
      <c r="BD215" s="129">
        <f t="shared" si="124"/>
        <v>1150.5683146795111</v>
      </c>
      <c r="BE215" s="129">
        <f t="shared" si="124"/>
        <v>1150.5683146795111</v>
      </c>
      <c r="BF215" s="129">
        <f t="shared" si="124"/>
        <v>7746.5496351742131</v>
      </c>
      <c r="BG215" s="129">
        <f t="shared" si="124"/>
        <v>6595.9813204947022</v>
      </c>
      <c r="BH215" s="129">
        <f t="shared" si="124"/>
        <v>6595.9813204947022</v>
      </c>
      <c r="BI215" s="129">
        <f t="shared" si="124"/>
        <v>0</v>
      </c>
      <c r="BJ215" s="129">
        <f t="shared" si="124"/>
        <v>0</v>
      </c>
      <c r="BK215" s="129">
        <f t="shared" si="124"/>
        <v>0</v>
      </c>
      <c r="BL215" s="129">
        <f t="shared" si="124"/>
        <v>0</v>
      </c>
      <c r="BM215" s="129">
        <f t="shared" si="124"/>
        <v>0</v>
      </c>
      <c r="BN215" s="129">
        <f t="shared" si="124"/>
        <v>0</v>
      </c>
      <c r="BO215" s="129">
        <f t="shared" si="124"/>
        <v>0</v>
      </c>
      <c r="BP215" s="129">
        <f t="shared" ref="BP215:BQ215" si="125">+$B$215*BP206</f>
        <v>0</v>
      </c>
      <c r="BQ215" s="129">
        <f t="shared" si="125"/>
        <v>0</v>
      </c>
    </row>
    <row r="216" spans="1:86" s="70" customFormat="1" ht="6" customHeight="1">
      <c r="A216" s="66"/>
      <c r="B216" s="66"/>
      <c r="C216" s="479"/>
      <c r="D216" s="66"/>
      <c r="E216" s="66"/>
      <c r="F216" s="66"/>
      <c r="G216" s="66"/>
      <c r="H216" s="66"/>
      <c r="I216" s="66"/>
      <c r="J216" s="66"/>
      <c r="K216" s="66"/>
      <c r="L216" s="66"/>
      <c r="M216" s="66"/>
      <c r="N216" s="66"/>
      <c r="O216" s="66"/>
      <c r="P216" s="66"/>
      <c r="Q216" s="66"/>
      <c r="R216" s="66"/>
      <c r="S216" s="66"/>
      <c r="T216" s="66"/>
      <c r="U216" s="66"/>
      <c r="V216" s="66"/>
      <c r="W216" s="66"/>
      <c r="X216" s="66"/>
      <c r="Y216" s="66"/>
      <c r="Z216" s="66"/>
      <c r="AA216" s="66"/>
      <c r="AB216" s="66"/>
      <c r="AC216" s="66"/>
      <c r="AD216" s="66"/>
      <c r="AE216" s="66"/>
      <c r="AF216" s="66"/>
      <c r="AG216" s="66"/>
      <c r="AH216" s="66"/>
      <c r="AI216" s="66"/>
      <c r="AJ216" s="66"/>
      <c r="AK216" s="66"/>
      <c r="AL216" s="66"/>
      <c r="AM216" s="66"/>
      <c r="AN216" s="66"/>
      <c r="AO216" s="66"/>
      <c r="AP216" s="66"/>
      <c r="AQ216" s="66"/>
      <c r="AR216" s="66"/>
      <c r="AS216" s="66"/>
      <c r="AT216" s="66"/>
      <c r="AU216" s="66"/>
      <c r="AV216" s="66"/>
      <c r="AW216" s="66"/>
      <c r="AX216" s="66"/>
      <c r="AY216" s="66"/>
      <c r="AZ216" s="66"/>
      <c r="BA216" s="66"/>
      <c r="BB216" s="66"/>
      <c r="BC216" s="66"/>
      <c r="BD216" s="66"/>
      <c r="BE216" s="66"/>
      <c r="BF216" s="66"/>
      <c r="BG216" s="66"/>
      <c r="BH216" s="66"/>
      <c r="BI216" s="66"/>
      <c r="BJ216" s="66"/>
      <c r="BK216" s="66"/>
      <c r="BL216" s="66"/>
      <c r="BM216" s="66"/>
      <c r="BN216" s="66"/>
      <c r="BO216" s="66"/>
      <c r="BP216" s="66"/>
      <c r="BQ216" s="66"/>
    </row>
    <row r="217" spans="1:86" s="632" customFormat="1" thickBot="1">
      <c r="A217" s="631" t="s">
        <v>70</v>
      </c>
      <c r="B217" s="631"/>
      <c r="C217" s="631">
        <f>SUM(D217:BQ217)</f>
        <v>31321958.721035112</v>
      </c>
      <c r="D217" s="631">
        <f t="shared" ref="D217:AI217" si="126">+D215+D213+D206</f>
        <v>0</v>
      </c>
      <c r="E217" s="631">
        <f t="shared" si="126"/>
        <v>0</v>
      </c>
      <c r="F217" s="631">
        <f t="shared" si="126"/>
        <v>0</v>
      </c>
      <c r="G217" s="631">
        <f t="shared" si="126"/>
        <v>0</v>
      </c>
      <c r="H217" s="631">
        <f t="shared" si="126"/>
        <v>0</v>
      </c>
      <c r="I217" s="631">
        <f t="shared" si="126"/>
        <v>0</v>
      </c>
      <c r="J217" s="631">
        <f t="shared" si="126"/>
        <v>0</v>
      </c>
      <c r="K217" s="631">
        <f t="shared" si="126"/>
        <v>691554.2708469131</v>
      </c>
      <c r="L217" s="631">
        <f t="shared" si="126"/>
        <v>551628.70094806806</v>
      </c>
      <c r="M217" s="631">
        <f t="shared" si="126"/>
        <v>507936.91479406221</v>
      </c>
      <c r="N217" s="631">
        <f t="shared" si="126"/>
        <v>410084.50404987531</v>
      </c>
      <c r="O217" s="631">
        <f t="shared" si="126"/>
        <v>402974.79046888254</v>
      </c>
      <c r="P217" s="631">
        <f t="shared" si="126"/>
        <v>427915.54145560606</v>
      </c>
      <c r="Q217" s="631">
        <f t="shared" si="126"/>
        <v>365390.11035192496</v>
      </c>
      <c r="R217" s="631">
        <f t="shared" si="126"/>
        <v>383909.59916302736</v>
      </c>
      <c r="S217" s="631">
        <f t="shared" si="126"/>
        <v>400773.65529610089</v>
      </c>
      <c r="T217" s="631">
        <f t="shared" si="126"/>
        <v>359004.36932484992</v>
      </c>
      <c r="U217" s="631">
        <f t="shared" si="126"/>
        <v>374530.66277464491</v>
      </c>
      <c r="V217" s="631">
        <f t="shared" si="126"/>
        <v>390766.9582272218</v>
      </c>
      <c r="W217" s="631">
        <f t="shared" si="126"/>
        <v>376832.8857915051</v>
      </c>
      <c r="X217" s="631">
        <f t="shared" si="126"/>
        <v>391740.80581193394</v>
      </c>
      <c r="Y217" s="631">
        <f t="shared" si="126"/>
        <v>405924.60901326046</v>
      </c>
      <c r="Z217" s="631">
        <f t="shared" si="126"/>
        <v>427406.49651888642</v>
      </c>
      <c r="AA217" s="631">
        <f t="shared" si="126"/>
        <v>443769.75893383817</v>
      </c>
      <c r="AB217" s="631">
        <f t="shared" si="126"/>
        <v>461074.57029640011</v>
      </c>
      <c r="AC217" s="631">
        <f t="shared" si="126"/>
        <v>486024.35493423318</v>
      </c>
      <c r="AD217" s="631">
        <f t="shared" si="126"/>
        <v>506404.00324933522</v>
      </c>
      <c r="AE217" s="631">
        <f t="shared" si="126"/>
        <v>528259.46398838423</v>
      </c>
      <c r="AF217" s="631">
        <f t="shared" si="126"/>
        <v>558430.11315727653</v>
      </c>
      <c r="AG217" s="631">
        <f t="shared" si="126"/>
        <v>585096.3428775525</v>
      </c>
      <c r="AH217" s="631">
        <f t="shared" si="126"/>
        <v>614423.67049351905</v>
      </c>
      <c r="AI217" s="631">
        <f t="shared" si="126"/>
        <v>607662.53952511307</v>
      </c>
      <c r="AJ217" s="631">
        <f t="shared" ref="AJ217:BO217" si="127">+AJ215+AJ213+AJ206</f>
        <v>636575.78580767009</v>
      </c>
      <c r="AK217" s="631">
        <f t="shared" si="127"/>
        <v>670398.78277581534</v>
      </c>
      <c r="AL217" s="631">
        <f t="shared" si="127"/>
        <v>716816.54852264142</v>
      </c>
      <c r="AM217" s="631">
        <f t="shared" si="127"/>
        <v>774595.36471018114</v>
      </c>
      <c r="AN217" s="631">
        <f t="shared" si="127"/>
        <v>1676879.947356303</v>
      </c>
      <c r="AO217" s="631">
        <f t="shared" si="127"/>
        <v>1433513.8383506951</v>
      </c>
      <c r="AP217" s="631">
        <f t="shared" si="127"/>
        <v>1460785.4107935356</v>
      </c>
      <c r="AQ217" s="631">
        <f t="shared" si="127"/>
        <v>691671.31588424149</v>
      </c>
      <c r="AR217" s="631">
        <f t="shared" si="127"/>
        <v>732343.52927415539</v>
      </c>
      <c r="AS217" s="631">
        <f t="shared" si="127"/>
        <v>739270.11037926376</v>
      </c>
      <c r="AT217" s="631">
        <f t="shared" si="127"/>
        <v>1638934.4056122114</v>
      </c>
      <c r="AU217" s="631">
        <f t="shared" si="127"/>
        <v>1356057.91742132</v>
      </c>
      <c r="AV217" s="631">
        <f t="shared" si="127"/>
        <v>1369816.5053715382</v>
      </c>
      <c r="AW217" s="631">
        <f t="shared" si="127"/>
        <v>423543.77370117721</v>
      </c>
      <c r="AX217" s="631">
        <f t="shared" si="127"/>
        <v>293530.37349603226</v>
      </c>
      <c r="AY217" s="631">
        <f t="shared" si="127"/>
        <v>293530.37349603226</v>
      </c>
      <c r="AZ217" s="631">
        <f t="shared" si="127"/>
        <v>1131461.1850030667</v>
      </c>
      <c r="BA217" s="631">
        <f t="shared" si="127"/>
        <v>921852.61295514856</v>
      </c>
      <c r="BB217" s="631">
        <f t="shared" si="127"/>
        <v>921852.61295514856</v>
      </c>
      <c r="BC217" s="631">
        <f t="shared" si="127"/>
        <v>83921.801448114013</v>
      </c>
      <c r="BD217" s="631">
        <f t="shared" si="127"/>
        <v>83921.801448114013</v>
      </c>
      <c r="BE217" s="631">
        <f t="shared" si="127"/>
        <v>83921.801448114013</v>
      </c>
      <c r="BF217" s="631">
        <f t="shared" si="127"/>
        <v>565028.94447613554</v>
      </c>
      <c r="BG217" s="631">
        <f t="shared" si="127"/>
        <v>481107.14302802156</v>
      </c>
      <c r="BH217" s="631">
        <f t="shared" si="127"/>
        <v>481107.14302802156</v>
      </c>
      <c r="BI217" s="631">
        <f t="shared" si="127"/>
        <v>0</v>
      </c>
      <c r="BJ217" s="631">
        <f t="shared" si="127"/>
        <v>0</v>
      </c>
      <c r="BK217" s="631">
        <f t="shared" si="127"/>
        <v>0</v>
      </c>
      <c r="BL217" s="631">
        <f t="shared" si="127"/>
        <v>0</v>
      </c>
      <c r="BM217" s="631">
        <f t="shared" si="127"/>
        <v>0</v>
      </c>
      <c r="BN217" s="631">
        <f t="shared" si="127"/>
        <v>0</v>
      </c>
      <c r="BO217" s="631">
        <f t="shared" si="127"/>
        <v>0</v>
      </c>
      <c r="BP217" s="631">
        <f t="shared" ref="BP217:BQ217" si="128">+BP215+BP213+BP206</f>
        <v>0</v>
      </c>
      <c r="BQ217" s="631">
        <f t="shared" si="128"/>
        <v>0</v>
      </c>
    </row>
    <row r="218" spans="1:86" s="639" customFormat="1" ht="6" customHeight="1" thickTop="1">
      <c r="A218" s="637"/>
      <c r="B218" s="637"/>
      <c r="C218" s="638"/>
      <c r="D218" s="637"/>
      <c r="E218" s="637"/>
      <c r="F218" s="637"/>
      <c r="G218" s="637"/>
      <c r="H218" s="637"/>
      <c r="I218" s="637"/>
      <c r="J218" s="637"/>
      <c r="K218" s="637"/>
      <c r="L218" s="637"/>
      <c r="M218" s="637"/>
      <c r="N218" s="637"/>
      <c r="O218" s="637">
        <f>SUM(D217:O217)</f>
        <v>2564179.1811078014</v>
      </c>
      <c r="P218" s="637"/>
      <c r="Q218" s="637"/>
      <c r="R218" s="637"/>
      <c r="S218" s="637"/>
      <c r="T218" s="637"/>
      <c r="U218" s="637"/>
      <c r="V218" s="637"/>
      <c r="W218" s="637"/>
      <c r="X218" s="637"/>
      <c r="Y218" s="637"/>
      <c r="Z218" s="637"/>
      <c r="AA218" s="637">
        <f>SUM(P217:AA217)</f>
        <v>4747965.4526628004</v>
      </c>
      <c r="AB218" s="637"/>
      <c r="AC218" s="637"/>
      <c r="AD218" s="637"/>
      <c r="AE218" s="637"/>
      <c r="AF218" s="637"/>
      <c r="AG218" s="637"/>
      <c r="AH218" s="637"/>
      <c r="AI218" s="637"/>
      <c r="AJ218" s="637"/>
      <c r="AK218" s="637"/>
      <c r="AL218" s="637"/>
      <c r="AM218" s="637">
        <f>SUM(AB217:AM217)</f>
        <v>7145761.5403381223</v>
      </c>
      <c r="AN218" s="637"/>
      <c r="AO218" s="637"/>
      <c r="AP218" s="637"/>
      <c r="AQ218" s="637"/>
      <c r="AR218" s="637"/>
      <c r="AS218" s="637"/>
      <c r="AT218" s="637"/>
      <c r="AU218" s="637"/>
      <c r="AV218" s="637"/>
      <c r="AW218" s="637"/>
      <c r="AX218" s="637"/>
      <c r="AY218" s="637">
        <f>SUM(AN217:AY217)</f>
        <v>12109877.501136506</v>
      </c>
      <c r="AZ218" s="637"/>
      <c r="BA218" s="637"/>
      <c r="BB218" s="637"/>
      <c r="BC218" s="637"/>
      <c r="BD218" s="637"/>
      <c r="BE218" s="637"/>
      <c r="BF218" s="637"/>
      <c r="BG218" s="637"/>
      <c r="BH218" s="637"/>
      <c r="BI218" s="637"/>
      <c r="BJ218" s="637"/>
      <c r="BK218" s="637">
        <f>SUM(AZ217:BK217)</f>
        <v>4754175.0457898853</v>
      </c>
      <c r="BL218" s="637"/>
      <c r="BM218" s="637"/>
      <c r="BN218" s="637"/>
      <c r="BO218" s="637"/>
      <c r="BP218" s="637"/>
      <c r="BQ218" s="637"/>
    </row>
    <row r="219" spans="1:86" s="70" customFormat="1" ht="14">
      <c r="A219" s="66"/>
      <c r="B219" s="66"/>
      <c r="C219" s="479"/>
      <c r="D219" s="66"/>
      <c r="E219" s="66"/>
      <c r="F219" s="66"/>
      <c r="G219" s="66"/>
      <c r="H219" s="66"/>
      <c r="I219" s="66"/>
      <c r="J219" s="66"/>
      <c r="K219" s="66"/>
      <c r="L219" s="66"/>
      <c r="M219" s="66"/>
      <c r="N219" s="66"/>
      <c r="O219" s="66"/>
      <c r="P219" s="66"/>
      <c r="Q219" s="66"/>
      <c r="R219" s="66"/>
      <c r="S219" s="66"/>
      <c r="T219" s="66"/>
      <c r="U219" s="66"/>
      <c r="V219" s="66"/>
      <c r="W219" s="66"/>
      <c r="X219" s="66"/>
      <c r="Y219" s="66"/>
      <c r="Z219" s="66"/>
      <c r="AA219" s="66"/>
      <c r="AB219" s="66"/>
      <c r="AC219" s="66"/>
      <c r="AD219" s="66"/>
      <c r="AE219" s="66"/>
      <c r="AF219" s="66"/>
      <c r="AG219" s="66"/>
      <c r="AH219" s="66"/>
      <c r="AI219" s="66"/>
      <c r="AJ219" s="66"/>
      <c r="AK219" s="66"/>
      <c r="AL219" s="66"/>
      <c r="AM219" s="66"/>
      <c r="AN219" s="66"/>
      <c r="AO219" s="66"/>
      <c r="AP219" s="66"/>
      <c r="AQ219" s="66"/>
      <c r="AR219" s="66"/>
      <c r="AS219" s="66"/>
      <c r="AT219" s="66"/>
      <c r="AU219" s="66"/>
      <c r="AV219" s="66"/>
      <c r="AW219" s="66"/>
      <c r="AX219" s="66"/>
      <c r="AY219" s="66"/>
      <c r="AZ219" s="66"/>
      <c r="BA219" s="66"/>
      <c r="BB219" s="66"/>
      <c r="BC219" s="66"/>
      <c r="BD219" s="66"/>
      <c r="BE219" s="66"/>
      <c r="BF219" s="66"/>
      <c r="BG219" s="66"/>
      <c r="BH219" s="66"/>
      <c r="BI219" s="66"/>
      <c r="BJ219" s="66"/>
      <c r="BK219" s="66"/>
      <c r="BL219" s="66"/>
      <c r="BM219" s="66"/>
      <c r="BN219" s="66"/>
      <c r="BO219" s="66"/>
      <c r="BP219" s="66"/>
      <c r="BQ219" s="66"/>
    </row>
    <row r="220" spans="1:86" s="623" customFormat="1" ht="14">
      <c r="A220" s="620" t="s">
        <v>13</v>
      </c>
      <c r="B220" s="620"/>
      <c r="C220" s="620"/>
      <c r="D220" s="620"/>
      <c r="E220" s="620"/>
      <c r="F220" s="620"/>
      <c r="G220" s="620"/>
      <c r="H220" s="620"/>
      <c r="I220" s="620"/>
      <c r="J220" s="620"/>
      <c r="K220" s="620"/>
      <c r="L220" s="620"/>
      <c r="M220" s="620"/>
      <c r="N220" s="620"/>
      <c r="O220" s="620"/>
      <c r="P220" s="620"/>
      <c r="Q220" s="620"/>
      <c r="R220" s="620"/>
      <c r="S220" s="620"/>
      <c r="T220" s="620"/>
      <c r="U220" s="620"/>
      <c r="V220" s="620"/>
      <c r="W220" s="620"/>
      <c r="X220" s="620"/>
      <c r="Y220" s="620"/>
      <c r="Z220" s="620"/>
      <c r="AA220" s="620"/>
      <c r="AB220" s="620"/>
      <c r="AC220" s="620"/>
      <c r="AD220" s="620"/>
      <c r="AE220" s="620"/>
      <c r="AF220" s="620"/>
      <c r="AG220" s="620"/>
      <c r="AH220" s="620"/>
      <c r="AI220" s="620"/>
      <c r="AJ220" s="620"/>
      <c r="AK220" s="620"/>
      <c r="AL220" s="620"/>
      <c r="AM220" s="620"/>
      <c r="AN220" s="620"/>
      <c r="AO220" s="620"/>
      <c r="AP220" s="620"/>
      <c r="AQ220" s="620"/>
      <c r="AR220" s="620"/>
      <c r="AS220" s="620"/>
      <c r="AT220" s="620"/>
      <c r="AU220" s="620"/>
      <c r="AV220" s="620"/>
      <c r="AW220" s="620"/>
      <c r="AX220" s="620"/>
      <c r="AY220" s="620"/>
      <c r="AZ220" s="620"/>
      <c r="BA220" s="620"/>
      <c r="BB220" s="620"/>
      <c r="BC220" s="620"/>
      <c r="BD220" s="620"/>
      <c r="BE220" s="620"/>
      <c r="BF220" s="620"/>
      <c r="BG220" s="620"/>
      <c r="BH220" s="620"/>
      <c r="BI220" s="620"/>
      <c r="BJ220" s="620"/>
      <c r="BK220" s="620"/>
      <c r="BL220" s="620"/>
      <c r="BM220" s="620"/>
      <c r="BN220" s="620"/>
      <c r="BO220" s="620"/>
      <c r="BP220" s="620"/>
      <c r="BQ220" s="620"/>
      <c r="BR220" s="620"/>
      <c r="BS220" s="620"/>
      <c r="BT220" s="620"/>
      <c r="BU220" s="620"/>
      <c r="BV220" s="620"/>
      <c r="BW220" s="620"/>
      <c r="BX220" s="620"/>
      <c r="BY220" s="620"/>
      <c r="BZ220" s="620"/>
      <c r="CA220" s="620"/>
      <c r="CB220" s="620"/>
      <c r="CC220" s="620"/>
      <c r="CD220" s="620"/>
      <c r="CE220" s="620"/>
      <c r="CF220" s="620"/>
      <c r="CG220" s="620"/>
      <c r="CH220" s="620"/>
    </row>
    <row r="221" spans="1:86" s="112" customFormat="1" ht="6" customHeight="1">
      <c r="A221" s="63"/>
      <c r="B221" s="101"/>
      <c r="C221" s="63"/>
      <c r="D221" s="63"/>
      <c r="E221" s="63"/>
      <c r="F221" s="63"/>
      <c r="G221" s="63"/>
      <c r="H221" s="63"/>
      <c r="I221" s="63"/>
      <c r="J221" s="63"/>
      <c r="K221" s="63"/>
      <c r="L221" s="63"/>
      <c r="M221" s="63"/>
      <c r="N221" s="63"/>
      <c r="O221" s="63"/>
      <c r="P221" s="63"/>
      <c r="Q221" s="63"/>
      <c r="R221" s="63"/>
      <c r="S221" s="63"/>
      <c r="T221" s="63"/>
      <c r="U221" s="63"/>
      <c r="V221" s="63"/>
      <c r="W221" s="63"/>
      <c r="X221" s="63"/>
      <c r="Y221" s="63"/>
      <c r="Z221" s="63"/>
      <c r="AA221" s="63"/>
      <c r="AB221" s="63"/>
      <c r="AC221" s="63"/>
      <c r="AD221" s="63"/>
      <c r="AE221" s="63"/>
      <c r="AF221" s="63"/>
      <c r="AG221" s="63"/>
      <c r="AH221" s="63"/>
      <c r="AI221" s="63"/>
      <c r="AJ221" s="63"/>
      <c r="AK221" s="63"/>
      <c r="AL221" s="63"/>
      <c r="AM221" s="63"/>
      <c r="AN221" s="63"/>
      <c r="AO221" s="63"/>
      <c r="AP221" s="63"/>
      <c r="AQ221" s="63"/>
      <c r="AR221" s="63"/>
      <c r="AS221" s="63"/>
      <c r="AT221" s="63"/>
      <c r="AU221" s="63"/>
      <c r="AV221" s="63"/>
      <c r="AW221" s="63"/>
      <c r="AX221" s="63"/>
      <c r="AY221" s="63"/>
      <c r="AZ221" s="63"/>
      <c r="BA221" s="63"/>
      <c r="BB221" s="63"/>
      <c r="BC221" s="63"/>
      <c r="BD221" s="63"/>
      <c r="BE221" s="63"/>
      <c r="BF221" s="63"/>
      <c r="BG221" s="63"/>
      <c r="BH221" s="63"/>
      <c r="BI221" s="63"/>
      <c r="BJ221" s="63"/>
      <c r="BK221" s="63"/>
      <c r="BL221" s="63"/>
      <c r="BM221" s="63"/>
      <c r="BN221" s="63"/>
      <c r="BO221" s="63"/>
      <c r="BP221" s="63"/>
      <c r="BQ221" s="63"/>
    </row>
    <row r="222" spans="1:86" s="112" customFormat="1" ht="14" outlineLevel="1">
      <c r="A222" s="83" t="s">
        <v>71</v>
      </c>
      <c r="B222" s="613">
        <f>'Resid - Datos'!O12</f>
        <v>0.15</v>
      </c>
      <c r="C222" s="610">
        <f>SUM(D222:BQ222)</f>
        <v>-2195308.1991899996</v>
      </c>
      <c r="D222" s="83">
        <f>+$B$222*(D69+D72+D74)</f>
        <v>0</v>
      </c>
      <c r="E222" s="83">
        <f>+$B$222*(E69+E72+E74)</f>
        <v>0</v>
      </c>
      <c r="F222" s="83">
        <f>+$B$222*(F69+F72+F74)</f>
        <v>0</v>
      </c>
      <c r="G222" s="83">
        <f>+$B$222*(G69+G72+G74)</f>
        <v>0</v>
      </c>
      <c r="H222" s="83">
        <f>+$B$222*(H69+H72+H74)</f>
        <v>0</v>
      </c>
      <c r="I222" s="83">
        <f>+$B$222*(I69+I72+I74)</f>
        <v>0</v>
      </c>
      <c r="J222" s="83">
        <f>+$B$222*(J69+J72+J74)</f>
        <v>0</v>
      </c>
      <c r="K222" s="83">
        <f>+$B$222*(K69+K72+K74)</f>
        <v>0</v>
      </c>
      <c r="L222" s="83">
        <f>+$B$222*(L69+L72+L74)</f>
        <v>0</v>
      </c>
      <c r="M222" s="83">
        <f>+$B$222*(M69+M72+M74)</f>
        <v>0</v>
      </c>
      <c r="N222" s="83">
        <f>+$B$222*(N69+N72+N74)</f>
        <v>-21621.374774999997</v>
      </c>
      <c r="O222" s="83">
        <f>+$B$222*(O69+O72+O74)</f>
        <v>-23351.084756999993</v>
      </c>
      <c r="P222" s="83">
        <f>+$B$222*(P69+P72+P74)</f>
        <v>-22826.047482000002</v>
      </c>
      <c r="Q222" s="83">
        <f>+$B$222*(Q69+Q72+Q74)</f>
        <v>-22826.047482000002</v>
      </c>
      <c r="R222" s="83">
        <f>+$B$222*(R69+R72+R74)</f>
        <v>-22826.047482000002</v>
      </c>
      <c r="S222" s="83">
        <f>+$B$222*(S69+S72+S74)</f>
        <v>-21906.970025849998</v>
      </c>
      <c r="T222" s="83">
        <f>+$B$222*(T69+T72+T74)</f>
        <v>-24616.9420961625</v>
      </c>
      <c r="U222" s="83">
        <f>+$B$222*(U69+U72+U74)</f>
        <v>-16778.745416474998</v>
      </c>
      <c r="V222" s="83">
        <f>+$B$222*(V69+V72+V74)</f>
        <v>-19488.7174867875</v>
      </c>
      <c r="W222" s="83">
        <f>+$B$222*(W69+W72+W74)</f>
        <v>-22198.689557099999</v>
      </c>
      <c r="X222" s="83">
        <f>+$B$222*(X69+X72+X74)</f>
        <v>-24908.661627412501</v>
      </c>
      <c r="Y222" s="83">
        <f>+$B$222*(Y69+Y72+Y74)</f>
        <v>-38217.635572724997</v>
      </c>
      <c r="Z222" s="83">
        <f>+$B$222*(Z69+Z72+Z74)</f>
        <v>-43577.3581117875</v>
      </c>
      <c r="AA222" s="83">
        <f>+$B$222*(AA69+AA72+AA74)</f>
        <v>-48937.080650849995</v>
      </c>
      <c r="AB222" s="83">
        <f>+$B$222*(AB69+AB72+AB74)</f>
        <v>-54296.803189912498</v>
      </c>
      <c r="AC222" s="83">
        <f>+$B$222*(AC69+AC72+AC74)</f>
        <v>-56946.553658662502</v>
      </c>
      <c r="AD222" s="83">
        <f>+$B$222*(AD69+AD72+AD74)</f>
        <v>-59596.304127412499</v>
      </c>
      <c r="AE222" s="83">
        <f>+$B$222*(AE69+AE72+AE74)</f>
        <v>-72845.056471162505</v>
      </c>
      <c r="AF222" s="83">
        <f>+$B$222*(AF69+AF72+AF74)</f>
        <v>-78144.557408662498</v>
      </c>
      <c r="AG222" s="83">
        <f>+$B$222*(AG69+AG72+AG74)</f>
        <v>-80734.086275850001</v>
      </c>
      <c r="AH222" s="83">
        <f>+$B$222*(AH69+AH72+AH74)</f>
        <v>-100153.27764303749</v>
      </c>
      <c r="AI222" s="83">
        <f>+$B$222*(AI69+AI72+AI74)</f>
        <v>-100093.05604147501</v>
      </c>
      <c r="AJ222" s="83">
        <f>+$B$222*(AJ69+AJ72+AJ74)</f>
        <v>-100032.83443991251</v>
      </c>
      <c r="AK222" s="83">
        <f>+$B$222*(AK69+AK72+AK74)</f>
        <v>-98557.656553500012</v>
      </c>
      <c r="AL222" s="83">
        <f>+$B$222*(AL69+AL72+AL74)</f>
        <v>-105456.761944125</v>
      </c>
      <c r="AM222" s="83">
        <f>+$B$222*(AM69+AM72+AM74)</f>
        <v>-95957.941866000008</v>
      </c>
      <c r="AN222" s="83">
        <f>+$B$222*(AN69+AN72+AN74)</f>
        <v>-75915.748936312506</v>
      </c>
      <c r="AO222" s="83">
        <f>+$B$222*(AO69+AO72+AO74)</f>
        <v>-74816.981709750005</v>
      </c>
      <c r="AP222" s="83">
        <f>+$B$222*(AP69+AP72+AP74)</f>
        <v>-73793.214483187505</v>
      </c>
      <c r="AQ222" s="83">
        <f>+$B$222*(AQ69+AQ72+AQ74)</f>
        <v>-72769.447256625004</v>
      </c>
      <c r="AR222" s="83">
        <f>+$B$222*(AR69+AR72+AR74)</f>
        <v>-76960.505030062501</v>
      </c>
      <c r="AS222" s="83">
        <f>+$B$222*(AS69+AS72+AS74)</f>
        <v>-73324.487334749996</v>
      </c>
      <c r="AT222" s="83">
        <f>+$B$222*(AT69+AT72+AT74)</f>
        <v>-51187.392295687503</v>
      </c>
      <c r="AU222" s="83">
        <f>+$B$222*(AU69+AU72+AU74)</f>
        <v>-48500.141826937506</v>
      </c>
      <c r="AV222" s="83">
        <f>+$B$222*(AV69+AV72+AV74)</f>
        <v>-45850.391358187502</v>
      </c>
      <c r="AW222" s="83">
        <f>+$B$222*(AW69+AW72+AW74)</f>
        <v>-43200.640889437505</v>
      </c>
      <c r="AX222" s="83">
        <f>+$B$222*(AX69+AX72+AX74)</f>
        <v>-45765.715420687498</v>
      </c>
      <c r="AY222" s="83">
        <f>+$B$222*(AY69+AY72+AY74)</f>
        <v>-41564.981709750005</v>
      </c>
      <c r="AZ222" s="83">
        <f>+$B$222*(AZ69+AZ72+AZ74)</f>
        <v>-18750.670655062502</v>
      </c>
      <c r="BA222" s="83">
        <f>+$B$222*(BA69+BA72+BA74)</f>
        <v>-17124.687412875002</v>
      </c>
      <c r="BB222" s="83">
        <f>+$B$222*(BB69+BB72+BB74)</f>
        <v>-15498.704170687499</v>
      </c>
      <c r="BC222" s="83">
        <f>+$B$222*(BC69+BC72+BC74)</f>
        <v>-13699.7499303</v>
      </c>
      <c r="BD222" s="83">
        <f>+$B$222*(BD69+BD72+BD74)</f>
        <v>-15273.772938112501</v>
      </c>
      <c r="BE222" s="83">
        <f>+$B$222*(BE69+BE72+BE74)</f>
        <v>-13722.789695925003</v>
      </c>
      <c r="BF222" s="83">
        <f>+$B$222*(BF69+BF72+BF74)</f>
        <v>-691.88399279999987</v>
      </c>
      <c r="BG222" s="83">
        <f>+$B$222*(BG69+BG72+BG74)</f>
        <v>0</v>
      </c>
      <c r="BH222" s="83">
        <f>+$B$222*(BH69+BH72+BH74)</f>
        <v>0</v>
      </c>
      <c r="BI222" s="83">
        <f>+$B$222*(BI69+BI72+BI74)</f>
        <v>0</v>
      </c>
      <c r="BJ222" s="83">
        <f>+$B$222*(BJ69+BJ72+BJ74)</f>
        <v>0</v>
      </c>
      <c r="BK222" s="83">
        <f>+$B$222*(BK69+BK72+BK74)</f>
        <v>0</v>
      </c>
      <c r="BL222" s="83">
        <f>+$B$222*(BL69+BL72+BL74)</f>
        <v>0</v>
      </c>
      <c r="BM222" s="83">
        <f>+$B$222*(BM69+BM72+BM74)</f>
        <v>0</v>
      </c>
      <c r="BN222" s="83">
        <f>+$B$222*(BN69+BN72+BN74)</f>
        <v>0</v>
      </c>
      <c r="BO222" s="83">
        <f>+$B$222*(BO69+BO72+BO74)</f>
        <v>0</v>
      </c>
      <c r="BP222" s="83">
        <f>+$B$222*(BP69+BP72+BP74)</f>
        <v>0</v>
      </c>
      <c r="BQ222" s="83">
        <f>+$B$222*(BQ69+BQ72+BQ74)</f>
        <v>0</v>
      </c>
    </row>
    <row r="223" spans="1:86" s="112" customFormat="1" ht="14" outlineLevel="1">
      <c r="A223" s="84" t="s">
        <v>100</v>
      </c>
      <c r="B223" s="615">
        <f>'Resid - Datos'!O11</f>
        <v>0.21</v>
      </c>
      <c r="C223" s="633">
        <f>SUM(D223:BQ223)</f>
        <v>-513707.47883064701</v>
      </c>
      <c r="D223" s="112">
        <f>+$B$223*(+D90+D79+D80+D81+D82/2+D83+D86+D87+D88+D89/2+D73)</f>
        <v>0</v>
      </c>
      <c r="E223" s="112">
        <f>+$B$223*(+E90+E79+E80+E81+E82/2+E83+E86+E87+E88+E89/2+E73)</f>
        <v>-6587.1551978400003</v>
      </c>
      <c r="F223" s="112">
        <f>+$B$223*(+F90+F79+F80+F81+F82/2+F83+F86+F87+F88+F89/2+F73)</f>
        <v>-15066.333335549994</v>
      </c>
      <c r="G223" s="112">
        <f>+$B$223*(+G90+G79+G80+G81+G82/2+G83+G86+G87+G88+G89/2+G73)</f>
        <v>-15066.333335549994</v>
      </c>
      <c r="H223" s="112">
        <f>+$B$223*(+H90+H79+H80+H81+H82/2+H83+H86+H87+H88+H89/2+H73)</f>
        <v>-18407.098496963117</v>
      </c>
      <c r="I223" s="112">
        <f>+$B$223*(+I90+I79+I80+I81+I82/2+I83+I86+I87+I88+I89/2+I73)</f>
        <v>-18407.098496963117</v>
      </c>
      <c r="J223" s="112">
        <f>+$B$223*(+J90+J79+J80+J81+J82/2+J83+J86+J87+J88+J89/2+J73)</f>
        <v>-11266.737959944172</v>
      </c>
      <c r="K223" s="112">
        <f>+$B$223*(+K90+K79+K80+K81+K82/2+K83+K86+K87+K88+K89/2+K73)</f>
        <v>-19067.191823944173</v>
      </c>
      <c r="L223" s="112">
        <f>+$B$223*(+L90+L79+L80+L81+L82/2+L83+L86+L87+L88+L89/2+L73)</f>
        <v>-17180.669014444175</v>
      </c>
      <c r="M223" s="112">
        <f>+$B$223*(+M90+M79+M80+M81+M82/2+M83+M86+M87+M88+M89/2+M73)</f>
        <v>-12089.268862859066</v>
      </c>
      <c r="N223" s="112">
        <f>+$B$223*(+N90+N79+N80+N81+N82/2+N83+N86+N87+N88+N89/2+N73)</f>
        <v>-10936.158291659067</v>
      </c>
      <c r="O223" s="112">
        <f>+$B$223*(+O90+O79+O80+O81+O82/2+O83+O86+O87+O88+O89/2+O73)</f>
        <v>-10609.605268303068</v>
      </c>
      <c r="P223" s="112">
        <f>+$B$223*(+P90+P79+P80+P81+P82/2+P83+P86+P87+P88+P89/2+P73)</f>
        <v>-10673.195924803067</v>
      </c>
      <c r="Q223" s="112">
        <f>+$B$223*(+Q90+Q79+Q80+Q81+Q82/2+Q83+Q86+Q87+Q88+Q89/2+Q73)</f>
        <v>-9456.4946971030677</v>
      </c>
      <c r="R223" s="112">
        <f>+$B$223*(+R90+R79+R80+R81+R82/2+R83+R86+R87+R88+R89/2+R73)</f>
        <v>-9486.1703368030667</v>
      </c>
      <c r="S223" s="112">
        <f>+$B$223*(+S90+S79+S80+S81+S82/2+S83+S86+S87+S88+S89/2+S73)</f>
        <v>-9486.1703368030667</v>
      </c>
      <c r="T223" s="112">
        <f>+$B$223*(+T90+T79+T80+T81+T82/2+T83+T86+T87+T88+T89/2+T73)</f>
        <v>-8659.4918023030659</v>
      </c>
      <c r="U223" s="112">
        <f>+$B$223*(+U90+U79+U80+U81+U82/2+U83+U86+U87+U88+U89/2+U73)</f>
        <v>-8680.6886878030673</v>
      </c>
      <c r="V223" s="112">
        <f>+$B$223*(+V90+V79+V80+V81+V82/2+V83+V86+V87+V88+V89/2+V73)</f>
        <v>-8701.8855733030668</v>
      </c>
      <c r="W223" s="112">
        <f>+$B$223*(+W90+W79+W80+W81+W82/2+W83+W86+W87+W88+W89/2+W73)</f>
        <v>-8282.1872404030655</v>
      </c>
      <c r="X223" s="112">
        <f>+$B$223*(+X90+X79+X80+X81+X82/2+X83+X86+X87+X88+X89/2+X73)</f>
        <v>-8299.1447488030681</v>
      </c>
      <c r="Y223" s="112">
        <f>+$B$223*(+Y90+Y79+Y80+Y81+Y82/2+Y83+Y86+Y87+Y88+Y89/2+Y73)</f>
        <v>-8299.1447488030681</v>
      </c>
      <c r="Z223" s="112">
        <f>+$B$223*(+Z90+Z79+Z80+Z81+Z82/2+Z83+Z86+Z87+Z88+Z89/2+Z73)</f>
        <v>-8299.1447488030681</v>
      </c>
      <c r="AA223" s="112">
        <f>+$B$223*(+AA90+AA79+AA80+AA81+AA82/2+AA83+AA86+AA87+AA88+AA89/2+AA73)</f>
        <v>-8299.1447488030681</v>
      </c>
      <c r="AB223" s="112">
        <f>+$B$223*(+AB90+AB79+AB80+AB81+AB82/2+AB83+AB86+AB87+AB88+AB89/2+AB73)</f>
        <v>-8299.1447488030681</v>
      </c>
      <c r="AC223" s="112">
        <f>+$B$223*(+AC90+AC79+AC80+AC81+AC82/2+AC83+AC86+AC87+AC88+AC89/2+AC73)</f>
        <v>-8299.1447488030681</v>
      </c>
      <c r="AD223" s="112">
        <f>+$B$223*(+AD90+AD79+AD80+AD81+AD82/2+AD83+AD86+AD87+AD88+AD89/2+AD73)</f>
        <v>-8299.1447488030681</v>
      </c>
      <c r="AE223" s="112">
        <f>+$B$223*(+AE90+AE79+AE80+AE81+AE82/2+AE83+AE86+AE87+AE88+AE89/2+AE73)</f>
        <v>-8299.1447488030681</v>
      </c>
      <c r="AF223" s="112">
        <f>+$B$223*(+AF90+AF79+AF80+AF81+AF82/2+AF83+AF86+AF87+AF88+AF89/2+AF73)</f>
        <v>-8299.1447488030681</v>
      </c>
      <c r="AG223" s="112">
        <f>+$B$223*(+AG90+AG79+AG80+AG81+AG82/2+AG83+AG86+AG87+AG88+AG89/2+AG73)</f>
        <v>-8299.1447488030681</v>
      </c>
      <c r="AH223" s="112">
        <f>+$B$223*(+AH90+AH79+AH80+AH81+AH82/2+AH83+AH86+AH87+AH88+AH89/2+AH73)</f>
        <v>-8299.1447488030681</v>
      </c>
      <c r="AI223" s="112">
        <f>+$B$223*(+AI90+AI79+AI80+AI81+AI82/2+AI83+AI86+AI87+AI88+AI89/2+AI73)</f>
        <v>-7854.0101533030665</v>
      </c>
      <c r="AJ223" s="112">
        <f>+$B$223*(+AJ90+AJ79+AJ80+AJ81+AJ82/2+AJ83+AJ86+AJ87+AJ88+AJ89/2+AJ73)</f>
        <v>-7854.0101533030665</v>
      </c>
      <c r="AK223" s="112">
        <f>+$B$223*(+AK90+AK79+AK80+AK81+AK82/2+AK83+AK86+AK87+AK88+AK89/2+AK73)</f>
        <v>-12054.010153303067</v>
      </c>
      <c r="AL223" s="112">
        <f>+$B$223*(+AL90+AL79+AL80+AL81+AL82/2+AL83+AL86+AL87+AL88+AL89/2+AL73)</f>
        <v>-12054.010153303067</v>
      </c>
      <c r="AM223" s="112">
        <f>+$B$223*(+AM90+AM79+AM80+AM81+AM82/2+AM83+AM86+AM87+AM88+AM89/2+AM73)</f>
        <v>-13224.441192871065</v>
      </c>
      <c r="AN223" s="112">
        <f>+$B$223*(+AN90+AN79+AN80+AN81+AN82/2+AN83+AN86+AN87+AN88+AN89/2+AN73)</f>
        <v>-11124.441192871065</v>
      </c>
      <c r="AO223" s="112">
        <f>+$B$223*(+AO90+AO79+AO80+AO81+AO82/2+AO83+AO86+AO87+AO88+AO89/2+AO73)</f>
        <v>-7854.0101533030665</v>
      </c>
      <c r="AP223" s="112">
        <f>+$B$223*(+AP90+AP79+AP80+AP81+AP82/2+AP83+AP86+AP87+AP88+AP89/2+AP73)</f>
        <v>-7854.0101533030665</v>
      </c>
      <c r="AQ223" s="112">
        <f>+$B$223*(+AQ90+AQ79+AQ80+AQ81+AQ82/2+AQ83+AQ86+AQ87+AQ88+AQ89/2+AQ73)</f>
        <v>-7854.0101533030665</v>
      </c>
      <c r="AR223" s="112">
        <f>+$B$223*(+AR90+AR79+AR80+AR81+AR82/2+AR83+AR86+AR87+AR88+AR89/2+AR73)</f>
        <v>-7854.0101533030665</v>
      </c>
      <c r="AS223" s="112">
        <f>+$B$223*(+AS90+AS79+AS80+AS81+AS82/2+AS83+AS86+AS87+AS88+AS89/2+AS73)</f>
        <v>-9629.3065973710654</v>
      </c>
      <c r="AT223" s="112">
        <f>+$B$223*(+AT90+AT79+AT80+AT81+AT82/2+AT83+AT86+AT87+AT88+AT89/2+AT73)</f>
        <v>-9629.3065973710654</v>
      </c>
      <c r="AU223" s="112">
        <f>+$B$223*(+AU90+AU79+AU80+AU81+AU82/2+AU83+AU86+AU87+AU88+AU89/2+AU73)</f>
        <v>-7408.8755578030659</v>
      </c>
      <c r="AV223" s="112">
        <f>+$B$223*(+AV90+AV79+AV80+AV81+AV82/2+AV83+AV86+AV87+AV88+AV89/2+AV73)</f>
        <v>-6070.0579571120152</v>
      </c>
      <c r="AW223" s="112">
        <f>+$B$223*(+AW90+AW79+AW80+AW81+AW82/2+AW83+AW86+AW87+AW88+AW89/2+AW73)</f>
        <v>-5179.7887661120149</v>
      </c>
      <c r="AX223" s="112">
        <f>+$B$223*(+AX90+AX79+AX80+AX81+AX82/2+AX83+AX86+AX87+AX88+AX89/2+AX73)</f>
        <v>-5179.7887661120149</v>
      </c>
      <c r="AY223" s="112">
        <f>+$B$223*(+AY90+AY79+AY80+AY81+AY82/2+AY83+AY86+AY87+AY88+AY89/2+AY73)</f>
        <v>-7865.0042858960151</v>
      </c>
      <c r="AZ223" s="112">
        <f>+$B$223*(+AZ90+AZ79+AZ80+AZ81+AZ82/2+AZ83+AZ86+AZ87+AZ88+AZ89/2+AZ73)</f>
        <v>-5765.0042858960151</v>
      </c>
      <c r="BA223" s="112">
        <f>+$B$223*(+BA90+BA79+BA80+BA81+BA82/2+BA83+BA86+BA87+BA88+BA89/2+BA73)</f>
        <v>-5179.7887661120149</v>
      </c>
      <c r="BB223" s="112">
        <f>+$B$223*(+BB90+BB79+BB80+BB81+BB82/2+BB83+BB86+BB87+BB88+BB89/2+BB73)</f>
        <v>-5179.7887661120149</v>
      </c>
      <c r="BC223" s="112">
        <f>+$B$223*(+BC90+BC79+BC80+BC81+BC82/2+BC83+BC86+BC87+BC88+BC89/2+BC73)</f>
        <v>-5179.7887661120149</v>
      </c>
      <c r="BD223" s="112">
        <f>+$B$223*(+BD90+BD79+BD80+BD81+BD82/2+BD83+BD86+BD87+BD88+BD89/2+BD73)</f>
        <v>-5179.7887661120149</v>
      </c>
      <c r="BE223" s="112">
        <f>+$B$223*(+BE90+BE79+BE80+BE81+BE82/2+BE83+BE86+BE87+BE88+BE89/2+BE73)</f>
        <v>-7865.0042858960151</v>
      </c>
      <c r="BF223" s="112">
        <f>+$B$223*(+BF90+BF79+BF80+BF81+BF82/2+BF83+BF86+BF87+BF88+BF89/2+BF73)</f>
        <v>-5765.0042858960151</v>
      </c>
      <c r="BG223" s="112">
        <f>+$B$223*(+BG90+BG79+BG80+BG81+BG82/2+BG83+BG86+BG87+BG88+BG89/2+BG73)</f>
        <v>-5179.7887661120149</v>
      </c>
      <c r="BH223" s="112">
        <f>+$B$223*(+BH90+BH79+BH80+BH81+BH82/2+BH83+BH86+BH87+BH88+BH89/2+BH73)</f>
        <v>-1734.9030822771215</v>
      </c>
      <c r="BI223" s="112">
        <f>+$B$223*(+BI90+BI79+BI80+BI81+BI82/2+BI83+BI86+BI87+BI88+BI89/2+BI73)</f>
        <v>-735</v>
      </c>
      <c r="BJ223" s="112">
        <f>+$B$223*(+BJ90+BJ79+BJ80+BJ81+BJ82/2+BJ83+BJ86+BJ87+BJ88+BJ89/2+BJ73)</f>
        <v>0</v>
      </c>
      <c r="BK223" s="112">
        <f>+$B$223*(+BK90+BK79+BK80+BK81+BK82/2+BK83+BK86+BK87+BK88+BK89/2+BK73)</f>
        <v>0</v>
      </c>
      <c r="BL223" s="112">
        <f>+$B$223*(+BL90+BL79+BL80+BL81+BL82/2+BL83+BL86+BL87+BL88+BL89/2+BL73)</f>
        <v>0</v>
      </c>
      <c r="BM223" s="112">
        <f>+$B$223*(+BM90+BM79+BM80+BM81+BM82/2+BM83+BM86+BM87+BM88+BM89/2+BM73)</f>
        <v>0</v>
      </c>
      <c r="BN223" s="112">
        <f>+$B$223*(+BN90+BN79+BN80+BN81+BN82/2+BN83+BN86+BN87+BN88+BN89/2+BN73)</f>
        <v>0</v>
      </c>
      <c r="BO223" s="112">
        <f>+$B$223*(+BO90+BO79+BO80+BO81+BO82/2+BO83+BO86+BO87+BO88+BO89/2+BO73)</f>
        <v>0</v>
      </c>
      <c r="BP223" s="112">
        <f>+$B$223*(+BP90+BP79+BP80+BP81+BP82/2+BP83+BP86+BP87+BP88+BP89/2+BP73)</f>
        <v>0</v>
      </c>
      <c r="BQ223" s="112">
        <f>+$B$223*(+BQ90+BQ79+BQ80+BQ81+BQ82/2+BQ83+BQ86+BQ87+BQ88+BQ89/2+BQ73)</f>
        <v>0</v>
      </c>
    </row>
    <row r="224" spans="1:86" s="112" customFormat="1" ht="14" outlineLevel="1">
      <c r="A224" s="112" t="s">
        <v>9</v>
      </c>
      <c r="B224" s="615">
        <f>'Resid - Datos'!O13</f>
        <v>8.9249999999999996E-2</v>
      </c>
      <c r="C224" s="633">
        <f>SUM(D224:BQ224)</f>
        <v>2795484.8158523827</v>
      </c>
      <c r="D224" s="112">
        <f>+$B$224*(D217)</f>
        <v>0</v>
      </c>
      <c r="E224" s="112">
        <f t="shared" ref="E224:BP224" si="129">+$B$224*(E217)</f>
        <v>0</v>
      </c>
      <c r="F224" s="112">
        <f t="shared" si="129"/>
        <v>0</v>
      </c>
      <c r="G224" s="112">
        <f t="shared" si="129"/>
        <v>0</v>
      </c>
      <c r="H224" s="112">
        <f t="shared" si="129"/>
        <v>0</v>
      </c>
      <c r="I224" s="112">
        <f t="shared" si="129"/>
        <v>0</v>
      </c>
      <c r="J224" s="112">
        <f t="shared" si="129"/>
        <v>0</v>
      </c>
      <c r="K224" s="112">
        <f t="shared" si="129"/>
        <v>61721.218673086994</v>
      </c>
      <c r="L224" s="112">
        <f t="shared" si="129"/>
        <v>49232.86155961507</v>
      </c>
      <c r="M224" s="112">
        <f t="shared" si="129"/>
        <v>45333.369645370047</v>
      </c>
      <c r="N224" s="112">
        <f t="shared" si="129"/>
        <v>36600.041986451368</v>
      </c>
      <c r="O224" s="112">
        <f t="shared" si="129"/>
        <v>35965.500049347764</v>
      </c>
      <c r="P224" s="112">
        <f t="shared" si="129"/>
        <v>38191.462074912837</v>
      </c>
      <c r="Q224" s="112">
        <f t="shared" si="129"/>
        <v>32611.067348909302</v>
      </c>
      <c r="R224" s="112">
        <f t="shared" si="129"/>
        <v>34263.931725300194</v>
      </c>
      <c r="S224" s="112">
        <f t="shared" si="129"/>
        <v>35769.048735176999</v>
      </c>
      <c r="T224" s="112">
        <f t="shared" si="129"/>
        <v>32041.139962242854</v>
      </c>
      <c r="U224" s="112">
        <f t="shared" si="129"/>
        <v>33426.861652637053</v>
      </c>
      <c r="V224" s="112">
        <f t="shared" si="129"/>
        <v>34875.951021779547</v>
      </c>
      <c r="W224" s="112">
        <f t="shared" si="129"/>
        <v>33632.335056891832</v>
      </c>
      <c r="X224" s="112">
        <f t="shared" si="129"/>
        <v>34962.866918715103</v>
      </c>
      <c r="Y224" s="112">
        <f t="shared" si="129"/>
        <v>36228.771354433491</v>
      </c>
      <c r="Z224" s="112">
        <f t="shared" si="129"/>
        <v>38146.029814310612</v>
      </c>
      <c r="AA224" s="112">
        <f t="shared" si="129"/>
        <v>39606.450984845054</v>
      </c>
      <c r="AB224" s="112">
        <f t="shared" si="129"/>
        <v>41150.905398953706</v>
      </c>
      <c r="AC224" s="112">
        <f t="shared" si="129"/>
        <v>43377.67367788031</v>
      </c>
      <c r="AD224" s="112">
        <f t="shared" si="129"/>
        <v>45196.557290003169</v>
      </c>
      <c r="AE224" s="112">
        <f t="shared" si="129"/>
        <v>47147.157160963288</v>
      </c>
      <c r="AF224" s="112">
        <f t="shared" si="129"/>
        <v>49839.887599286929</v>
      </c>
      <c r="AG224" s="112">
        <f t="shared" si="129"/>
        <v>52219.848601821555</v>
      </c>
      <c r="AH224" s="112">
        <f t="shared" si="129"/>
        <v>54837.312591546572</v>
      </c>
      <c r="AI224" s="112">
        <f t="shared" si="129"/>
        <v>54233.881652616335</v>
      </c>
      <c r="AJ224" s="112">
        <f t="shared" si="129"/>
        <v>56814.388883334555</v>
      </c>
      <c r="AK224" s="112">
        <f t="shared" si="129"/>
        <v>59833.091362741514</v>
      </c>
      <c r="AL224" s="112">
        <f t="shared" si="129"/>
        <v>63975.876955645741</v>
      </c>
      <c r="AM224" s="112">
        <f t="shared" si="129"/>
        <v>69132.63630038366</v>
      </c>
      <c r="AN224" s="112">
        <f t="shared" si="129"/>
        <v>149661.53530155003</v>
      </c>
      <c r="AO224" s="112">
        <f t="shared" si="129"/>
        <v>127941.11007279954</v>
      </c>
      <c r="AP224" s="112">
        <f t="shared" si="129"/>
        <v>130375.09791332306</v>
      </c>
      <c r="AQ224" s="112">
        <f t="shared" si="129"/>
        <v>61731.664942668547</v>
      </c>
      <c r="AR224" s="112">
        <f t="shared" si="129"/>
        <v>65361.659987718362</v>
      </c>
      <c r="AS224" s="112">
        <f t="shared" si="129"/>
        <v>65979.857351349288</v>
      </c>
      <c r="AT224" s="112">
        <f t="shared" si="129"/>
        <v>146274.89570088987</v>
      </c>
      <c r="AU224" s="112">
        <f t="shared" si="129"/>
        <v>121028.1691298528</v>
      </c>
      <c r="AV224" s="112">
        <f t="shared" si="129"/>
        <v>122256.12310440978</v>
      </c>
      <c r="AW224" s="112">
        <f t="shared" si="129"/>
        <v>37801.281802830068</v>
      </c>
      <c r="AX224" s="112">
        <f t="shared" si="129"/>
        <v>26197.58583452088</v>
      </c>
      <c r="AY224" s="112">
        <f t="shared" si="129"/>
        <v>26197.58583452088</v>
      </c>
      <c r="AZ224" s="112">
        <f t="shared" si="129"/>
        <v>100982.9107615237</v>
      </c>
      <c r="BA224" s="112">
        <f t="shared" si="129"/>
        <v>82275.345706247012</v>
      </c>
      <c r="BB224" s="112">
        <f t="shared" si="129"/>
        <v>82275.345706247012</v>
      </c>
      <c r="BC224" s="112">
        <f t="shared" si="129"/>
        <v>7490.0207792441752</v>
      </c>
      <c r="BD224" s="112">
        <f t="shared" si="129"/>
        <v>7490.0207792441752</v>
      </c>
      <c r="BE224" s="112">
        <f t="shared" si="129"/>
        <v>7490.0207792441752</v>
      </c>
      <c r="BF224" s="112">
        <f t="shared" si="129"/>
        <v>50428.833294495096</v>
      </c>
      <c r="BG224" s="112">
        <f t="shared" si="129"/>
        <v>42938.812515250924</v>
      </c>
      <c r="BH224" s="112">
        <f t="shared" si="129"/>
        <v>42938.812515250924</v>
      </c>
      <c r="BI224" s="112">
        <f t="shared" si="129"/>
        <v>0</v>
      </c>
      <c r="BJ224" s="112">
        <f t="shared" si="129"/>
        <v>0</v>
      </c>
      <c r="BK224" s="112">
        <f t="shared" si="129"/>
        <v>0</v>
      </c>
      <c r="BL224" s="112">
        <f t="shared" si="129"/>
        <v>0</v>
      </c>
      <c r="BM224" s="112">
        <f t="shared" si="129"/>
        <v>0</v>
      </c>
      <c r="BN224" s="112">
        <f t="shared" si="129"/>
        <v>0</v>
      </c>
      <c r="BO224" s="112">
        <f t="shared" si="129"/>
        <v>0</v>
      </c>
      <c r="BP224" s="112">
        <f t="shared" si="129"/>
        <v>0</v>
      </c>
      <c r="BQ224" s="112">
        <f t="shared" ref="BQ224" si="130">+$B$224*(BQ217)</f>
        <v>0</v>
      </c>
    </row>
    <row r="225" spans="1:80" s="112" customFormat="1" ht="14" outlineLevel="1">
      <c r="A225" s="112" t="s">
        <v>8</v>
      </c>
      <c r="B225" s="670"/>
      <c r="C225" s="633">
        <f>SUM(D225:BQ225)</f>
        <v>86469.137831736312</v>
      </c>
      <c r="D225" s="112">
        <f>SUM(D222:D224)</f>
        <v>0</v>
      </c>
      <c r="E225" s="112">
        <f t="shared" ref="E225:BP225" si="131">SUM(E222:E224)</f>
        <v>-6587.1551978400003</v>
      </c>
      <c r="F225" s="112">
        <f t="shared" si="131"/>
        <v>-15066.333335549994</v>
      </c>
      <c r="G225" s="112">
        <f t="shared" si="131"/>
        <v>-15066.333335549994</v>
      </c>
      <c r="H225" s="112">
        <f t="shared" si="131"/>
        <v>-18407.098496963117</v>
      </c>
      <c r="I225" s="112">
        <f t="shared" si="131"/>
        <v>-18407.098496963117</v>
      </c>
      <c r="J225" s="112">
        <f t="shared" si="131"/>
        <v>-11266.737959944172</v>
      </c>
      <c r="K225" s="112">
        <f t="shared" si="131"/>
        <v>42654.026849142821</v>
      </c>
      <c r="L225" s="112">
        <f t="shared" si="131"/>
        <v>32052.192545170896</v>
      </c>
      <c r="M225" s="112">
        <f t="shared" si="131"/>
        <v>33244.100782510985</v>
      </c>
      <c r="N225" s="112">
        <f t="shared" si="131"/>
        <v>4042.5089197923044</v>
      </c>
      <c r="O225" s="112">
        <f t="shared" si="131"/>
        <v>2004.810024044702</v>
      </c>
      <c r="P225" s="112">
        <f t="shared" si="131"/>
        <v>4692.2186681097664</v>
      </c>
      <c r="Q225" s="112">
        <f t="shared" si="131"/>
        <v>328.52516980623477</v>
      </c>
      <c r="R225" s="112">
        <f t="shared" si="131"/>
        <v>1951.713906497127</v>
      </c>
      <c r="S225" s="112">
        <f t="shared" si="131"/>
        <v>4375.9083725239325</v>
      </c>
      <c r="T225" s="112">
        <f t="shared" si="131"/>
        <v>-1235.293936222708</v>
      </c>
      <c r="U225" s="112">
        <f t="shared" si="131"/>
        <v>7967.4275483589881</v>
      </c>
      <c r="V225" s="112">
        <f t="shared" si="131"/>
        <v>6685.3479616889817</v>
      </c>
      <c r="W225" s="112">
        <f t="shared" si="131"/>
        <v>3151.4582593887681</v>
      </c>
      <c r="X225" s="112">
        <f t="shared" si="131"/>
        <v>1755.0605424995374</v>
      </c>
      <c r="Y225" s="112">
        <f t="shared" si="131"/>
        <v>-10288.008967094574</v>
      </c>
      <c r="Z225" s="112">
        <f t="shared" si="131"/>
        <v>-13730.473046279956</v>
      </c>
      <c r="AA225" s="112">
        <f t="shared" si="131"/>
        <v>-17629.774414808009</v>
      </c>
      <c r="AB225" s="112">
        <f t="shared" si="131"/>
        <v>-21445.04253976186</v>
      </c>
      <c r="AC225" s="112">
        <f t="shared" si="131"/>
        <v>-21868.024729585261</v>
      </c>
      <c r="AD225" s="112">
        <f t="shared" si="131"/>
        <v>-22698.891586212398</v>
      </c>
      <c r="AE225" s="112">
        <f t="shared" si="131"/>
        <v>-33997.044059002284</v>
      </c>
      <c r="AF225" s="112">
        <f t="shared" si="131"/>
        <v>-36603.814558178638</v>
      </c>
      <c r="AG225" s="112">
        <f t="shared" si="131"/>
        <v>-36813.382422831513</v>
      </c>
      <c r="AH225" s="112">
        <f t="shared" si="131"/>
        <v>-53615.109800293991</v>
      </c>
      <c r="AI225" s="112">
        <f t="shared" si="131"/>
        <v>-53713.18454216174</v>
      </c>
      <c r="AJ225" s="112">
        <f t="shared" si="131"/>
        <v>-51072.455709881018</v>
      </c>
      <c r="AK225" s="112">
        <f t="shared" si="131"/>
        <v>-50778.575344061566</v>
      </c>
      <c r="AL225" s="112">
        <f t="shared" si="131"/>
        <v>-53534.895141782326</v>
      </c>
      <c r="AM225" s="112">
        <f t="shared" si="131"/>
        <v>-40049.74675848741</v>
      </c>
      <c r="AN225" s="112">
        <f t="shared" si="131"/>
        <v>62621.345172366462</v>
      </c>
      <c r="AO225" s="112">
        <f t="shared" si="131"/>
        <v>45270.118209746463</v>
      </c>
      <c r="AP225" s="112">
        <f t="shared" si="131"/>
        <v>48727.873276832484</v>
      </c>
      <c r="AQ225" s="112">
        <f t="shared" si="131"/>
        <v>-18891.792467259525</v>
      </c>
      <c r="AR225" s="112">
        <f t="shared" si="131"/>
        <v>-19452.855195647207</v>
      </c>
      <c r="AS225" s="112">
        <f t="shared" si="131"/>
        <v>-16973.93658077177</v>
      </c>
      <c r="AT225" s="112">
        <f t="shared" si="131"/>
        <v>85458.196807831308</v>
      </c>
      <c r="AU225" s="112">
        <f t="shared" si="131"/>
        <v>65119.151745112227</v>
      </c>
      <c r="AV225" s="112">
        <f t="shared" si="131"/>
        <v>70335.673789110268</v>
      </c>
      <c r="AW225" s="112">
        <f t="shared" si="131"/>
        <v>-10579.147852719456</v>
      </c>
      <c r="AX225" s="112">
        <f t="shared" si="131"/>
        <v>-24747.918352278637</v>
      </c>
      <c r="AY225" s="112">
        <f t="shared" si="131"/>
        <v>-23232.400161125141</v>
      </c>
      <c r="AZ225" s="112">
        <f t="shared" si="131"/>
        <v>76467.235820565184</v>
      </c>
      <c r="BA225" s="112">
        <f t="shared" si="131"/>
        <v>59970.869527259994</v>
      </c>
      <c r="BB225" s="112">
        <f t="shared" si="131"/>
        <v>61596.852769447498</v>
      </c>
      <c r="BC225" s="112">
        <f t="shared" si="131"/>
        <v>-11389.517917167839</v>
      </c>
      <c r="BD225" s="112">
        <f t="shared" si="131"/>
        <v>-12963.540924980338</v>
      </c>
      <c r="BE225" s="112">
        <f t="shared" si="131"/>
        <v>-14097.773202576842</v>
      </c>
      <c r="BF225" s="112">
        <f t="shared" si="131"/>
        <v>43971.94501579908</v>
      </c>
      <c r="BG225" s="112">
        <f t="shared" si="131"/>
        <v>37759.023749138913</v>
      </c>
      <c r="BH225" s="112">
        <f t="shared" si="131"/>
        <v>41203.9094329738</v>
      </c>
      <c r="BI225" s="112">
        <f t="shared" si="131"/>
        <v>-735</v>
      </c>
      <c r="BJ225" s="112">
        <f t="shared" si="131"/>
        <v>0</v>
      </c>
      <c r="BK225" s="112">
        <f t="shared" si="131"/>
        <v>0</v>
      </c>
      <c r="BL225" s="112">
        <f t="shared" si="131"/>
        <v>0</v>
      </c>
      <c r="BM225" s="112">
        <f t="shared" si="131"/>
        <v>0</v>
      </c>
      <c r="BN225" s="112">
        <f t="shared" si="131"/>
        <v>0</v>
      </c>
      <c r="BO225" s="112">
        <f t="shared" si="131"/>
        <v>0</v>
      </c>
      <c r="BP225" s="112">
        <f t="shared" si="131"/>
        <v>0</v>
      </c>
      <c r="BQ225" s="112">
        <f t="shared" ref="BQ225" si="132">SUM(BQ222:BQ224)</f>
        <v>0</v>
      </c>
    </row>
    <row r="226" spans="1:80" s="112" customFormat="1" ht="14" outlineLevel="1">
      <c r="A226" s="87" t="s">
        <v>10</v>
      </c>
      <c r="B226" s="674"/>
      <c r="C226" s="612"/>
      <c r="D226" s="87">
        <f>+D225</f>
        <v>0</v>
      </c>
      <c r="E226" s="87">
        <f t="shared" ref="E226" si="133">+E225+D226</f>
        <v>-6587.1551978400003</v>
      </c>
      <c r="F226" s="87">
        <f t="shared" ref="F226" si="134">+F225+E226</f>
        <v>-21653.488533389995</v>
      </c>
      <c r="G226" s="87">
        <f t="shared" ref="G226" si="135">+G225+F226</f>
        <v>-36719.821868939987</v>
      </c>
      <c r="H226" s="87">
        <f t="shared" ref="H226" si="136">+H225+G226</f>
        <v>-55126.920365903105</v>
      </c>
      <c r="I226" s="87">
        <f t="shared" ref="I226" si="137">+I225+H226</f>
        <v>-73534.018862866214</v>
      </c>
      <c r="J226" s="87">
        <f t="shared" ref="J226" si="138">+J225+I226</f>
        <v>-84800.756822810392</v>
      </c>
      <c r="K226" s="87">
        <f t="shared" ref="K226" si="139">+K225+J226</f>
        <v>-42146.72997366757</v>
      </c>
      <c r="L226" s="87">
        <f t="shared" ref="L226" si="140">+L225+K226</f>
        <v>-10094.537428496675</v>
      </c>
      <c r="M226" s="87">
        <f t="shared" ref="M226" si="141">+M225+L226</f>
        <v>23149.56335401431</v>
      </c>
      <c r="N226" s="87">
        <f t="shared" ref="N226" si="142">+N225+M226</f>
        <v>27192.072273806614</v>
      </c>
      <c r="O226" s="87">
        <f t="shared" ref="O226" si="143">+O225+N226</f>
        <v>29196.882297851316</v>
      </c>
      <c r="P226" s="87">
        <f t="shared" ref="P226" si="144">+P225+O226</f>
        <v>33889.100965961086</v>
      </c>
      <c r="Q226" s="87">
        <f t="shared" ref="Q226" si="145">+Q225+P226</f>
        <v>34217.626135767321</v>
      </c>
      <c r="R226" s="87">
        <f t="shared" ref="R226" si="146">+R225+Q226</f>
        <v>36169.340042264448</v>
      </c>
      <c r="S226" s="87">
        <f t="shared" ref="S226" si="147">+S225+R226</f>
        <v>40545.248414788381</v>
      </c>
      <c r="T226" s="87">
        <f t="shared" ref="T226" si="148">+T225+S226</f>
        <v>39309.954478565676</v>
      </c>
      <c r="U226" s="87">
        <f t="shared" ref="U226" si="149">+U225+T226</f>
        <v>47277.382026924664</v>
      </c>
      <c r="V226" s="87">
        <f t="shared" ref="V226" si="150">+V225+U226</f>
        <v>53962.729988613646</v>
      </c>
      <c r="W226" s="87">
        <f t="shared" ref="W226" si="151">+W225+V226</f>
        <v>57114.188248002414</v>
      </c>
      <c r="X226" s="87">
        <f t="shared" ref="X226" si="152">+X225+W226</f>
        <v>58869.248790501952</v>
      </c>
      <c r="Y226" s="87">
        <f t="shared" ref="Y226" si="153">+Y225+X226</f>
        <v>48581.239823407377</v>
      </c>
      <c r="Z226" s="87">
        <f t="shared" ref="Z226" si="154">+Z225+Y226</f>
        <v>34850.766777127421</v>
      </c>
      <c r="AA226" s="87">
        <f t="shared" ref="AA226" si="155">+AA225+Z226</f>
        <v>17220.992362319412</v>
      </c>
      <c r="AB226" s="87">
        <f t="shared" ref="AB226" si="156">+AB225+AA226</f>
        <v>-4224.0501774424483</v>
      </c>
      <c r="AC226" s="87">
        <f t="shared" ref="AC226" si="157">+AC225+AB226</f>
        <v>-26092.074907027709</v>
      </c>
      <c r="AD226" s="87">
        <f t="shared" ref="AD226" si="158">+AD225+AC226</f>
        <v>-48790.966493240107</v>
      </c>
      <c r="AE226" s="87">
        <f t="shared" ref="AE226" si="159">+AE225+AD226</f>
        <v>-82788.010552242398</v>
      </c>
      <c r="AF226" s="87">
        <f t="shared" ref="AF226" si="160">+AF225+AE226</f>
        <v>-119391.82511042104</v>
      </c>
      <c r="AG226" s="87">
        <f t="shared" ref="AG226" si="161">+AG225+AF226</f>
        <v>-156205.20753325254</v>
      </c>
      <c r="AH226" s="87">
        <f t="shared" ref="AH226" si="162">+AH225+AG226</f>
        <v>-209820.31733354653</v>
      </c>
      <c r="AI226" s="87">
        <f t="shared" ref="AI226" si="163">+AI225+AH226</f>
        <v>-263533.50187570829</v>
      </c>
      <c r="AJ226" s="87">
        <f t="shared" ref="AJ226" si="164">+AJ225+AI226</f>
        <v>-314605.95758558932</v>
      </c>
      <c r="AK226" s="87">
        <f t="shared" ref="AK226" si="165">+AK225+AJ226</f>
        <v>-365384.53292965086</v>
      </c>
      <c r="AL226" s="87">
        <f t="shared" ref="AL226" si="166">+AL225+AK226</f>
        <v>-418919.42807143321</v>
      </c>
      <c r="AM226" s="87">
        <f t="shared" ref="AM226" si="167">+AM225+AL226</f>
        <v>-458969.17482992064</v>
      </c>
      <c r="AN226" s="87">
        <f t="shared" ref="AN226" si="168">+AN225+AM226</f>
        <v>-396347.82965755416</v>
      </c>
      <c r="AO226" s="87">
        <f t="shared" ref="AO226" si="169">+AO225+AN226</f>
        <v>-351077.71144780773</v>
      </c>
      <c r="AP226" s="87">
        <f t="shared" ref="AP226" si="170">+AP225+AO226</f>
        <v>-302349.83817097521</v>
      </c>
      <c r="AQ226" s="87">
        <f t="shared" ref="AQ226" si="171">+AQ225+AP226</f>
        <v>-321241.63063823472</v>
      </c>
      <c r="AR226" s="87">
        <f t="shared" ref="AR226" si="172">+AR225+AQ226</f>
        <v>-340694.48583388195</v>
      </c>
      <c r="AS226" s="87">
        <f t="shared" ref="AS226" si="173">+AS225+AR226</f>
        <v>-357668.4224146537</v>
      </c>
      <c r="AT226" s="87">
        <f t="shared" ref="AT226" si="174">+AT225+AS226</f>
        <v>-272210.22560682241</v>
      </c>
      <c r="AU226" s="87">
        <f t="shared" ref="AU226" si="175">+AU225+AT226</f>
        <v>-207091.07386171017</v>
      </c>
      <c r="AV226" s="87">
        <f t="shared" ref="AV226" si="176">+AV225+AU226</f>
        <v>-136755.40007259991</v>
      </c>
      <c r="AW226" s="87">
        <f t="shared" ref="AW226" si="177">+AW225+AV226</f>
        <v>-147334.54792531935</v>
      </c>
      <c r="AX226" s="87">
        <f t="shared" ref="AX226" si="178">+AX225+AW226</f>
        <v>-172082.466277598</v>
      </c>
      <c r="AY226" s="87">
        <f t="shared" ref="AY226" si="179">+AY225+AX226</f>
        <v>-195314.86643872314</v>
      </c>
      <c r="AZ226" s="87">
        <f t="shared" ref="AZ226" si="180">+AZ225+AY226</f>
        <v>-118847.63061815796</v>
      </c>
      <c r="BA226" s="87">
        <f t="shared" ref="BA226" si="181">+BA225+AZ226</f>
        <v>-58876.761090897962</v>
      </c>
      <c r="BB226" s="87">
        <f t="shared" ref="BB226" si="182">+BB225+BA226</f>
        <v>2720.0916785495356</v>
      </c>
      <c r="BC226" s="87">
        <f t="shared" ref="BC226" si="183">+BC225+BB226</f>
        <v>-8669.4262386183036</v>
      </c>
      <c r="BD226" s="87">
        <f t="shared" ref="BD226" si="184">+BD225+BC226</f>
        <v>-21632.967163598641</v>
      </c>
      <c r="BE226" s="87">
        <f t="shared" ref="BE226" si="185">+BE225+BD226</f>
        <v>-35730.74036617548</v>
      </c>
      <c r="BF226" s="87">
        <f t="shared" ref="BF226" si="186">+BF225+BE226</f>
        <v>8241.2046496235998</v>
      </c>
      <c r="BG226" s="87">
        <f t="shared" ref="BG226" si="187">+BG225+BF226</f>
        <v>46000.228398762512</v>
      </c>
      <c r="BH226" s="87">
        <f t="shared" ref="BH226" si="188">+BH225+BG226</f>
        <v>87204.137831736312</v>
      </c>
      <c r="BI226" s="87">
        <f t="shared" ref="BI226" si="189">+BI225+BH226</f>
        <v>86469.137831736312</v>
      </c>
      <c r="BJ226" s="87">
        <f t="shared" ref="BJ226" si="190">+BJ225+BI226</f>
        <v>86469.137831736312</v>
      </c>
      <c r="BK226" s="87">
        <f t="shared" ref="BK226" si="191">+BK225+BJ226</f>
        <v>86469.137831736312</v>
      </c>
      <c r="BL226" s="87">
        <f t="shared" ref="BL226" si="192">+BL225+BK226</f>
        <v>86469.137831736312</v>
      </c>
      <c r="BM226" s="87">
        <f t="shared" ref="BM226:BP226" si="193">+BM225+BL226</f>
        <v>86469.137831736312</v>
      </c>
      <c r="BN226" s="87">
        <f t="shared" si="193"/>
        <v>86469.137831736312</v>
      </c>
      <c r="BO226" s="87">
        <f t="shared" si="193"/>
        <v>86469.137831736312</v>
      </c>
      <c r="BP226" s="87">
        <f t="shared" si="193"/>
        <v>86469.137831736312</v>
      </c>
      <c r="BQ226" s="87">
        <f t="shared" ref="BQ226" si="194">+BQ225+BP226</f>
        <v>86469.137831736312</v>
      </c>
    </row>
    <row r="227" spans="1:80" s="678" customFormat="1" thickBot="1">
      <c r="A227" s="675" t="s">
        <v>11</v>
      </c>
      <c r="B227" s="676"/>
      <c r="C227" s="677">
        <f>SUM(D227:BQ227)</f>
        <v>-19941.084040868933</v>
      </c>
      <c r="D227" s="675">
        <f>+D226</f>
        <v>0</v>
      </c>
      <c r="E227" s="675">
        <f>+IF(E226&lt;0,E225,IF(D226&lt;0,-D226,0))</f>
        <v>-6587.1551978400003</v>
      </c>
      <c r="F227" s="675">
        <f t="shared" ref="F227:BQ227" si="195">+IF(F226&lt;0,F225,IF(E226&lt;0,-E226,0))</f>
        <v>-15066.333335549994</v>
      </c>
      <c r="G227" s="675">
        <f t="shared" si="195"/>
        <v>-15066.333335549994</v>
      </c>
      <c r="H227" s="675">
        <f t="shared" si="195"/>
        <v>-18407.098496963117</v>
      </c>
      <c r="I227" s="675">
        <f t="shared" si="195"/>
        <v>-18407.098496963117</v>
      </c>
      <c r="J227" s="675">
        <f t="shared" si="195"/>
        <v>-11266.737959944172</v>
      </c>
      <c r="K227" s="675">
        <f t="shared" si="195"/>
        <v>42654.026849142821</v>
      </c>
      <c r="L227" s="675">
        <f t="shared" si="195"/>
        <v>32052.192545170896</v>
      </c>
      <c r="M227" s="675">
        <f t="shared" ref="M227" si="196">+IF(M226&lt;0,M225,IF(L226&lt;0,-L226,0))</f>
        <v>10094.537428496675</v>
      </c>
      <c r="N227" s="675">
        <f t="shared" ref="N227" si="197">+IF(N226&lt;0,N225,IF(M226&lt;0,-M226,0))</f>
        <v>0</v>
      </c>
      <c r="O227" s="675">
        <f t="shared" ref="O227" si="198">+IF(O226&lt;0,O225,IF(N226&lt;0,-N226,0))</f>
        <v>0</v>
      </c>
      <c r="P227" s="675">
        <f t="shared" ref="P227" si="199">+IF(P226&lt;0,P225,IF(O226&lt;0,-O226,0))</f>
        <v>0</v>
      </c>
      <c r="Q227" s="675">
        <f t="shared" ref="Q227" si="200">+IF(Q226&lt;0,Q225,IF(P226&lt;0,-P226,0))</f>
        <v>0</v>
      </c>
      <c r="R227" s="675">
        <f t="shared" ref="R227" si="201">+IF(R226&lt;0,R225,IF(Q226&lt;0,-Q226,0))</f>
        <v>0</v>
      </c>
      <c r="S227" s="675">
        <f t="shared" ref="S227" si="202">+IF(S226&lt;0,S225,IF(R226&lt;0,-R226,0))</f>
        <v>0</v>
      </c>
      <c r="T227" s="675">
        <f t="shared" ref="T227" si="203">+IF(T226&lt;0,T225,IF(S226&lt;0,-S226,0))</f>
        <v>0</v>
      </c>
      <c r="U227" s="675">
        <f t="shared" ref="U227" si="204">+IF(U226&lt;0,U225,IF(T226&lt;0,-T226,0))</f>
        <v>0</v>
      </c>
      <c r="V227" s="675">
        <f t="shared" ref="V227" si="205">+IF(V226&lt;0,V225,IF(U226&lt;0,-U226,0))</f>
        <v>0</v>
      </c>
      <c r="W227" s="675">
        <f t="shared" ref="W227" si="206">+IF(W226&lt;0,W225,IF(V226&lt;0,-V226,0))</f>
        <v>0</v>
      </c>
      <c r="X227" s="675">
        <f t="shared" ref="X227" si="207">+IF(X226&lt;0,X225,IF(W226&lt;0,-W226,0))</f>
        <v>0</v>
      </c>
      <c r="Y227" s="675">
        <f t="shared" ref="Y227" si="208">+IF(Y226&lt;0,Y225,IF(X226&lt;0,-X226,0))</f>
        <v>0</v>
      </c>
      <c r="Z227" s="675">
        <f t="shared" ref="Z227" si="209">+IF(Z226&lt;0,Z225,IF(Y226&lt;0,-Y226,0))</f>
        <v>0</v>
      </c>
      <c r="AA227" s="675">
        <f t="shared" ref="AA227" si="210">+IF(AA226&lt;0,AA225,IF(Z226&lt;0,-Z226,0))</f>
        <v>0</v>
      </c>
      <c r="AB227" s="675">
        <f t="shared" ref="AB227" si="211">+IF(AB226&lt;0,AB225,IF(AA226&lt;0,-AA226,0))</f>
        <v>-21445.04253976186</v>
      </c>
      <c r="AC227" s="675">
        <f t="shared" ref="AC227" si="212">+IF(AC226&lt;0,AC225,IF(AB226&lt;0,-AB226,0))</f>
        <v>-21868.024729585261</v>
      </c>
      <c r="AD227" s="675">
        <f t="shared" ref="AD227" si="213">+IF(AD226&lt;0,AD225,IF(AC226&lt;0,-AC226,0))</f>
        <v>-22698.891586212398</v>
      </c>
      <c r="AE227" s="675">
        <f t="shared" ref="AE227" si="214">+IF(AE226&lt;0,AE225,IF(AD226&lt;0,-AD226,0))</f>
        <v>-33997.044059002284</v>
      </c>
      <c r="AF227" s="675">
        <f t="shared" ref="AF227" si="215">+IF(AF226&lt;0,AF225,IF(AE226&lt;0,-AE226,0))</f>
        <v>-36603.814558178638</v>
      </c>
      <c r="AG227" s="675">
        <f t="shared" ref="AG227" si="216">+IF(AG226&lt;0,AG225,IF(AF226&lt;0,-AF226,0))</f>
        <v>-36813.382422831513</v>
      </c>
      <c r="AH227" s="675">
        <f t="shared" ref="AH227" si="217">+IF(AH226&lt;0,AH225,IF(AG226&lt;0,-AG226,0))</f>
        <v>-53615.109800293991</v>
      </c>
      <c r="AI227" s="675">
        <f t="shared" ref="AI227" si="218">+IF(AI226&lt;0,AI225,IF(AH226&lt;0,-AH226,0))</f>
        <v>-53713.18454216174</v>
      </c>
      <c r="AJ227" s="675">
        <f t="shared" ref="AJ227" si="219">+IF(AJ226&lt;0,AJ225,IF(AI226&lt;0,-AI226,0))</f>
        <v>-51072.455709881018</v>
      </c>
      <c r="AK227" s="675">
        <f t="shared" ref="AK227" si="220">+IF(AK226&lt;0,AK225,IF(AJ226&lt;0,-AJ226,0))</f>
        <v>-50778.575344061566</v>
      </c>
      <c r="AL227" s="675">
        <f t="shared" si="195"/>
        <v>-53534.895141782326</v>
      </c>
      <c r="AM227" s="675">
        <f t="shared" si="195"/>
        <v>-40049.74675848741</v>
      </c>
      <c r="AN227" s="675">
        <f t="shared" si="195"/>
        <v>62621.345172366462</v>
      </c>
      <c r="AO227" s="675">
        <f t="shared" si="195"/>
        <v>45270.118209746463</v>
      </c>
      <c r="AP227" s="675">
        <f t="shared" si="195"/>
        <v>48727.873276832484</v>
      </c>
      <c r="AQ227" s="675">
        <f t="shared" si="195"/>
        <v>-18891.792467259525</v>
      </c>
      <c r="AR227" s="675">
        <f t="shared" si="195"/>
        <v>-19452.855195647207</v>
      </c>
      <c r="AS227" s="675">
        <f t="shared" si="195"/>
        <v>-16973.93658077177</v>
      </c>
      <c r="AT227" s="675">
        <f t="shared" si="195"/>
        <v>85458.196807831308</v>
      </c>
      <c r="AU227" s="675">
        <f t="shared" si="195"/>
        <v>65119.151745112227</v>
      </c>
      <c r="AV227" s="675">
        <f t="shared" si="195"/>
        <v>70335.673789110268</v>
      </c>
      <c r="AW227" s="675">
        <f t="shared" si="195"/>
        <v>-10579.147852719456</v>
      </c>
      <c r="AX227" s="675">
        <f t="shared" si="195"/>
        <v>-24747.918352278637</v>
      </c>
      <c r="AY227" s="675">
        <f t="shared" si="195"/>
        <v>-23232.400161125141</v>
      </c>
      <c r="AZ227" s="675">
        <f t="shared" si="195"/>
        <v>76467.235820565184</v>
      </c>
      <c r="BA227" s="675">
        <f t="shared" si="195"/>
        <v>59970.869527259994</v>
      </c>
      <c r="BB227" s="675">
        <f t="shared" si="195"/>
        <v>58876.761090897962</v>
      </c>
      <c r="BC227" s="675">
        <f t="shared" si="195"/>
        <v>-11389.517917167839</v>
      </c>
      <c r="BD227" s="675">
        <f t="shared" si="195"/>
        <v>-12963.540924980338</v>
      </c>
      <c r="BE227" s="675">
        <f t="shared" si="195"/>
        <v>-14097.773202576842</v>
      </c>
      <c r="BF227" s="675">
        <f t="shared" si="195"/>
        <v>35730.74036617548</v>
      </c>
      <c r="BG227" s="675">
        <f t="shared" si="195"/>
        <v>0</v>
      </c>
      <c r="BH227" s="675">
        <f t="shared" si="195"/>
        <v>0</v>
      </c>
      <c r="BI227" s="675">
        <f t="shared" si="195"/>
        <v>0</v>
      </c>
      <c r="BJ227" s="675">
        <f t="shared" si="195"/>
        <v>0</v>
      </c>
      <c r="BK227" s="675">
        <f t="shared" si="195"/>
        <v>0</v>
      </c>
      <c r="BL227" s="675">
        <f t="shared" si="195"/>
        <v>0</v>
      </c>
      <c r="BM227" s="675">
        <f t="shared" si="195"/>
        <v>0</v>
      </c>
      <c r="BN227" s="675">
        <f t="shared" si="195"/>
        <v>0</v>
      </c>
      <c r="BO227" s="675">
        <f t="shared" si="195"/>
        <v>0</v>
      </c>
      <c r="BP227" s="675">
        <f t="shared" si="195"/>
        <v>0</v>
      </c>
      <c r="BQ227" s="675">
        <f t="shared" si="195"/>
        <v>0</v>
      </c>
    </row>
    <row r="228" spans="1:80" s="70" customFormat="1" thickTop="1">
      <c r="A228" s="66"/>
      <c r="B228" s="66"/>
      <c r="C228" s="136"/>
      <c r="D228" s="66"/>
      <c r="E228" s="66"/>
      <c r="F228" s="66"/>
      <c r="G228" s="66"/>
      <c r="H228" s="66"/>
      <c r="I228" s="66"/>
      <c r="J228" s="66"/>
      <c r="K228" s="66"/>
      <c r="L228" s="66"/>
      <c r="M228" s="66"/>
      <c r="N228" s="66"/>
      <c r="O228" s="66">
        <f>SUM(D227:O227)</f>
        <v>0</v>
      </c>
      <c r="P228" s="66"/>
      <c r="Q228" s="66"/>
      <c r="R228" s="66"/>
      <c r="S228" s="66"/>
      <c r="T228" s="66"/>
      <c r="U228" s="66"/>
      <c r="V228" s="66"/>
      <c r="W228" s="66"/>
      <c r="X228" s="66"/>
      <c r="Y228" s="66"/>
      <c r="Z228" s="66"/>
      <c r="AA228" s="66">
        <f>SUM(P227:AA227)</f>
        <v>0</v>
      </c>
      <c r="AB228" s="66"/>
      <c r="AC228" s="66"/>
      <c r="AD228" s="66"/>
      <c r="AE228" s="66"/>
      <c r="AF228" s="66"/>
      <c r="AG228" s="66"/>
      <c r="AH228" s="66"/>
      <c r="AI228" s="66"/>
      <c r="AJ228" s="66"/>
      <c r="AK228" s="66"/>
      <c r="AL228" s="66"/>
      <c r="AM228" s="66">
        <f>SUM(AB227:AM227)</f>
        <v>-476190.16719224001</v>
      </c>
      <c r="AN228" s="66"/>
      <c r="AO228" s="66"/>
      <c r="AP228" s="66"/>
      <c r="AQ228" s="66"/>
      <c r="AR228" s="66"/>
      <c r="AS228" s="66"/>
      <c r="AT228" s="66"/>
      <c r="AU228" s="66"/>
      <c r="AV228" s="66"/>
      <c r="AW228" s="73"/>
      <c r="AX228" s="66"/>
      <c r="AY228" s="66">
        <f>SUM(AN227:AY227)</f>
        <v>263654.30839119753</v>
      </c>
      <c r="AZ228" s="66"/>
      <c r="BA228" s="66"/>
      <c r="BB228" s="66"/>
      <c r="BC228" s="66"/>
      <c r="BD228" s="66"/>
      <c r="BE228" s="66"/>
      <c r="BF228" s="66"/>
      <c r="BG228" s="66"/>
      <c r="BH228" s="66"/>
      <c r="BI228" s="66"/>
      <c r="BJ228" s="66"/>
      <c r="BK228" s="66">
        <f>SUM(AZ227:BK227)</f>
        <v>192594.7747601736</v>
      </c>
      <c r="BL228" s="66"/>
      <c r="BM228" s="66"/>
      <c r="BN228" s="66"/>
      <c r="BO228" s="66"/>
      <c r="BP228" s="66"/>
      <c r="BQ228" s="66"/>
    </row>
    <row r="229" spans="1:80" s="74" customFormat="1" ht="14">
      <c r="A229" s="111" t="str">
        <f>+'Resid - Datos'!I10</f>
        <v>Impuesto a las Transferencias Bancarias</v>
      </c>
      <c r="B229" s="475">
        <f>+'Resid - Datos'!O10</f>
        <v>6.0000000000000001E-3</v>
      </c>
      <c r="C229" s="425">
        <f>SUM(D229:BQ229)</f>
        <v>-324058.26484493737</v>
      </c>
      <c r="D229" s="313">
        <f>+IF(D227&lt;0,$B$229*(D227+D94-D217),$B$229*(-D227-D217+D94))</f>
        <v>-11594.4</v>
      </c>
      <c r="E229" s="313">
        <f>+IF(E227&lt;0,$B$229*(E227+E94-E217),$B$229*(-E227-E217+E94))</f>
        <v>-248.72736541104004</v>
      </c>
      <c r="F229" s="313">
        <f>+IF(F227&lt;0,$B$229*(F227+F94-F217),$B$229*(-F227-F217+F94))</f>
        <v>-541.86466674329995</v>
      </c>
      <c r="G229" s="313">
        <f>+IF(G227&lt;0,$B$229*(G227+G94-G217),$B$229*(-G227-G217+G94))</f>
        <v>-541.86466674329995</v>
      </c>
      <c r="H229" s="313">
        <f>+IF(H227&lt;0,$B$229*(H227+H94-H217),$B$229*(-H227-H217+H94))</f>
        <v>-657.35969089501077</v>
      </c>
      <c r="I229" s="313">
        <f>+IF(I227&lt;0,$B$229*(I227+I94-I217),$B$229*(-I227-I217+I94))</f>
        <v>-657.35969089501077</v>
      </c>
      <c r="J229" s="313">
        <f>+IF(J227&lt;0,$B$229*(J227+J94-J217),$B$229*(-J227-J217+J94))</f>
        <v>-410.50722661521286</v>
      </c>
      <c r="K229" s="313">
        <f>+IF(K227&lt;0,$B$229*(K227+K94-K217),$B$229*(-K227-K217+K94))</f>
        <v>-5136.999720435143</v>
      </c>
      <c r="L229" s="313">
        <f>+IF(L227&lt;0,$B$229*(L227+L94-L217),$B$229*(-L227-L217+L94))</f>
        <v>-4647.9658094145179</v>
      </c>
      <c r="M229" s="313">
        <f>+IF(M227&lt;0,$B$229*(M227+M94-M217),$B$229*(-M227-M217+M94))</f>
        <v>-3596.5012546819021</v>
      </c>
      <c r="N229" s="313">
        <f>+IF(N227&lt;0,$B$229*(N227+N94-N217),$B$229*(-N227-N217+N94))</f>
        <v>-3757.243961747195</v>
      </c>
      <c r="O229" s="313">
        <f>+IF(O227&lt;0,$B$229*(O227+O94-O217),$B$229*(-O227-O217+O94))</f>
        <v>-4274.3509645722006</v>
      </c>
      <c r="P229" s="313">
        <f>+IF(P227&lt;0,$B$229*(P227+P94-P217),$B$229*(-P227-P217+P94))</f>
        <v>-3909.1833329573551</v>
      </c>
      <c r="Q229" s="313">
        <f>+IF(Q227&lt;0,$B$229*(Q227+Q94-Q217),$B$229*(-Q227-Q217+Q94))</f>
        <v>-3484.2617506503852</v>
      </c>
      <c r="R229" s="313">
        <f>+IF(R227&lt;0,$B$229*(R227+R94-R217),$B$229*(-R227-R217+R94))</f>
        <v>-3600.6712362516646</v>
      </c>
      <c r="S229" s="313">
        <f>+IF(S227&lt;0,$B$229*(S227+S94-S217),$B$229*(-S227-S217+S94))</f>
        <v>-3669.1398482760433</v>
      </c>
      <c r="T229" s="313">
        <f>+IF(T227&lt;0,$B$229*(T227+T94-T217),$B$229*(-T227-T217+T94))</f>
        <v>-3493.2789999279371</v>
      </c>
      <c r="U229" s="313">
        <f>+IF(U227&lt;0,$B$229*(U227+U94-U217),$B$229*(-U227-U217+U94))</f>
        <v>-3277.2408291671577</v>
      </c>
      <c r="V229" s="313">
        <f>+IF(V227&lt;0,$B$229*(V227+V94-V217),$B$229*(-V227-V217+V94))</f>
        <v>-3487.5598209037375</v>
      </c>
      <c r="W229" s="313">
        <f>+IF(W227&lt;0,$B$229*(W227+W94-W217),$B$229*(-W227-W217+W94))</f>
        <v>-3497.0187107773659</v>
      </c>
      <c r="X229" s="313">
        <f>+IF(X227&lt;0,$B$229*(X227+X94-X217),$B$229*(-X227-X217+X94))</f>
        <v>-3698.9275147573412</v>
      </c>
      <c r="Y229" s="313">
        <f>+IF(Y227&lt;0,$B$229*(Y227+Y94-Y217),$B$229*(-Y227-Y217+Y94))</f>
        <v>-4319.7934045461188</v>
      </c>
      <c r="Z229" s="313">
        <f>+IF(Z227&lt;0,$B$229*(Z227+Z94-Z217),$B$229*(-Z227-Z217+Z94))</f>
        <v>-4668.2292841437247</v>
      </c>
      <c r="AA229" s="313">
        <f>+IF(AA227&lt;0,$B$229*(AA227+AA94-AA217),$B$229*(-AA227-AA217+AA94))</f>
        <v>-4984.7249431755235</v>
      </c>
      <c r="AB229" s="313">
        <f>+IF(AB227&lt;0,$B$229*(AB227+AB94-AB217),$B$229*(-AB227-AB217+AB94))</f>
        <v>-5435.7661228789812</v>
      </c>
      <c r="AC229" s="313">
        <f>+IF(AC227&lt;0,$B$229*(AC227+AC94-AC217),$B$229*(-AC227-AC217+AC94))</f>
        <v>-5699.9806909079998</v>
      </c>
      <c r="AD229" s="313">
        <f>+IF(AD227&lt;0,$B$229*(AD227+AD94-AD217),$B$229*(-AD227-AD217+AD94))</f>
        <v>-5938.1249162839995</v>
      </c>
      <c r="AE229" s="313">
        <f>+IF(AE227&lt;0,$B$229*(AE227+AE94-AE217),$B$229*(-AE227-AE217+AE94))</f>
        <v>-6672.2419998824062</v>
      </c>
      <c r="AF229" s="313">
        <f>+IF(AF227&lt;0,$B$229*(AF227+AF94-AF217),$B$229*(-AF227-AF217+AF94))</f>
        <v>-7088.127511191351</v>
      </c>
      <c r="AG229" s="313">
        <f>+IF(AG227&lt;0,$B$229*(AG227+AG94-AG217),$B$229*(-AG227-AG217+AG94))</f>
        <v>-7359.3633465212897</v>
      </c>
      <c r="AH229" s="313">
        <f>+IF(AH227&lt;0,$B$229*(AH227+AH94-AH217),$B$229*(-AH227-AH217+AH94))</f>
        <v>-8419.9438897971959</v>
      </c>
      <c r="AI229" s="313">
        <f>+IF(AI227&lt;0,$B$229*(AI227+AI94-AI217),$B$229*(-AI227-AI217+AI94))</f>
        <v>-8363.2158856430506</v>
      </c>
      <c r="AJ229" s="313">
        <f>+IF(AJ227&lt;0,$B$229*(AJ227+AJ94-AJ217),$B$229*(-AJ227-AJ217+AJ94))</f>
        <v>-8525.3813053900212</v>
      </c>
      <c r="AK229" s="313">
        <f>+IF(AK227&lt;0,$B$229*(AK227+AK94-AK217),$B$229*(-AK227-AK217+AK94))</f>
        <v>-8795.6664088198304</v>
      </c>
      <c r="AL229" s="313">
        <f>+IF(AL227&lt;0,$B$229*(AL227+AL94-AL217),$B$229*(-AL227-AL217+AL94))</f>
        <v>-9377.8154014913507</v>
      </c>
      <c r="AM229" s="313">
        <f>+IF(AM227&lt;0,$B$229*(AM227+AM94-AM217),$B$229*(-AM227-AM217+AM94))</f>
        <v>-9373.6340707556283</v>
      </c>
      <c r="AN229" s="313">
        <f>+IF(AN227&lt;0,$B$229*(AN227+AN94-AN217),$B$229*(-AN227-AN217+AN94))</f>
        <v>-14508.971330885768</v>
      </c>
      <c r="AO229" s="313">
        <f>+IF(AO227&lt;0,$B$229*(AO227+AO94-AO217),$B$229*(-AO227-AO217+AO94))</f>
        <v>-12764.668452160997</v>
      </c>
      <c r="AP229" s="313">
        <f>+IF(AP227&lt;0,$B$229*(AP227+AP94-AP217),$B$229*(-AP227-AP217+AP94))</f>
        <v>-12914.63890554434</v>
      </c>
      <c r="AQ229" s="313">
        <f>+IF(AQ227&lt;0,$B$229*(AQ227+AQ94-AQ217),$B$229*(-AQ227-AQ217+AQ94))</f>
        <v>-7601.3585254338414</v>
      </c>
      <c r="AR229" s="313">
        <f>+IF(AR227&lt;0,$B$229*(AR227+AR94-AR217),$B$229*(-AR227-AR217+AR94))</f>
        <v>-8026.1618242947316</v>
      </c>
      <c r="AS229" s="313">
        <f>+IF(AS227&lt;0,$B$229*(AS227+AS94-AS217),$B$229*(-AS227-AS217+AS94))</f>
        <v>-8022.4938892676546</v>
      </c>
      <c r="AT229" s="313">
        <f>+IF(AT227&lt;0,$B$229*(AT227+AT94-AT217),$B$229*(-AT227-AT217+AT94))</f>
        <v>-13433.261806105824</v>
      </c>
      <c r="AU229" s="313">
        <f>+IF(AU227&lt;0,$B$229*(AU227+AU94-AU217),$B$229*(-AU227-AU217+AU94))</f>
        <v>-11386.185905112172</v>
      </c>
      <c r="AV229" s="313">
        <f>+IF(AV227&lt;0,$B$229*(AV227+AV94-AV217),$B$229*(-AV227-AV217+AV94))</f>
        <v>-11359.096675987206</v>
      </c>
      <c r="AW229" s="313">
        <f>+IF(AW227&lt;0,$B$229*(AW227+AW94-AW217),$B$229*(-AW227-AW217+AW94))</f>
        <v>-4624.9799160593429</v>
      </c>
      <c r="AX229" s="313">
        <f>+IF(AX227&lt;0,$B$229*(AX227+AX94-AX217),$B$229*(-AX227-AX217+AX94))</f>
        <v>-3979.7396223024716</v>
      </c>
      <c r="AY229" s="313">
        <f>+IF(AY227&lt;0,$B$229*(AY227+AY94-AY217),$B$229*(-AY227-AY217+AY94))</f>
        <v>-3942.0392709744506</v>
      </c>
      <c r="AZ229" s="313">
        <f>+IF(AZ227&lt;0,$B$229*(AZ227+AZ94-AZ217),$B$229*(-AZ227-AZ217+AZ94))</f>
        <v>-8789.8993988458278</v>
      </c>
      <c r="BA229" s="313">
        <f>+IF(BA227&lt;0,$B$229*(BA227+BA94-BA217),$B$229*(-BA227-BA217+BA94))</f>
        <v>-7301.2039383970878</v>
      </c>
      <c r="BB229" s="313">
        <f>+IF(BB227&lt;0,$B$229*(BB227+BB94-BB217),$B$229*(-BB227-BB217+BB94))</f>
        <v>-7229.5999580914158</v>
      </c>
      <c r="BC229" s="313">
        <f>+IF(BC227&lt;0,$B$229*(BC227+BC94-BC217),$B$229*(-BC227-BC217+BC94))</f>
        <v>-1308.9931104972961</v>
      </c>
      <c r="BD229" s="313">
        <f>+IF(BD227&lt;0,$B$229*(BD227+BD94-BD217),$B$229*(-BD227-BD217+BD94))</f>
        <v>-1381.3981688566712</v>
      </c>
      <c r="BE229" s="313">
        <f>+IF(BE227&lt;0,$B$229*(BE227+BE94-BE217),$B$229*(-BE227-BE217+BE94))</f>
        <v>-1465.5863390911502</v>
      </c>
      <c r="BF229" s="313">
        <f>+IF(BF227&lt;0,$B$229*(BF227+BF94-BF217),$B$229*(-BF227-BF217+BF94))</f>
        <v>-4144.9604805885283</v>
      </c>
      <c r="BG229" s="313">
        <f>+IF(BG227&lt;0,$B$229*(BG227+BG94-BG217),$B$229*(-BG227-BG217+BG94))</f>
        <v>-3362.5081942208435</v>
      </c>
      <c r="BH229" s="313">
        <f>+IF(BH227&lt;0,$B$229*(BH227+BH94-BH217),$B$229*(-BH227-BH217+BH94))</f>
        <v>-3264.082888968418</v>
      </c>
      <c r="BI229" s="313">
        <f>+IF(BI227&lt;0,$B$229*(BI227+BI94-BI217),$B$229*(-BI227-BI217+BI94))</f>
        <v>-42</v>
      </c>
      <c r="BJ229" s="313">
        <f>+IF(BJ227&lt;0,$B$229*(BJ227+BJ94-BJ217),$B$229*(-BJ227-BJ217+BJ94))</f>
        <v>0</v>
      </c>
      <c r="BK229" s="313">
        <f>+IF(BK227&lt;0,$B$229*(BK227+BK94-BK217),$B$229*(-BK227-BK217+BK94))</f>
        <v>0</v>
      </c>
      <c r="BL229" s="313">
        <f>+IF(BL227&lt;0,$B$229*(BL227+BL94-BL217),$B$229*(-BL227-BL217+BL94))</f>
        <v>0</v>
      </c>
      <c r="BM229" s="313">
        <f>+IF(BM227&lt;0,$B$229*(BM227+BM94-BM217),$B$229*(-BM227-BM217+BM94))</f>
        <v>0</v>
      </c>
      <c r="BN229" s="313">
        <f>+IF(BN227&lt;0,$B$229*(BN227+BN94-BN217),$B$229*(-BN227-BN217+BN94))</f>
        <v>0</v>
      </c>
      <c r="BO229" s="313">
        <f>+IF(BO227&lt;0,$B$229*(BO227+BO94-BO217),$B$229*(-BO227-BO217+BO94))</f>
        <v>0</v>
      </c>
      <c r="BP229" s="313">
        <f>+IF(BP227&lt;0,$B$229*(BP227+BP94-BP217),$B$229*(-BP227-BP217+BP94))</f>
        <v>0</v>
      </c>
      <c r="BQ229" s="313">
        <f>+IF(BQ227&lt;0,$B$229*(BQ227+BQ94-BQ217),$B$229*(-BQ227-BQ217+BQ94))</f>
        <v>0</v>
      </c>
      <c r="BR229" s="476"/>
      <c r="BS229" s="476"/>
      <c r="BT229" s="476"/>
      <c r="BU229" s="476"/>
      <c r="BV229" s="476"/>
      <c r="BW229" s="476"/>
      <c r="BX229" s="476"/>
      <c r="BY229" s="476"/>
      <c r="BZ229" s="476"/>
      <c r="CA229" s="476"/>
      <c r="CB229" s="476"/>
    </row>
    <row r="230" spans="1:80" s="124" customFormat="1" ht="14">
      <c r="A230" s="99"/>
      <c r="B230" s="99"/>
      <c r="C230" s="489">
        <f>SUM(D230:BQ230)</f>
        <v>9696905.8149931524</v>
      </c>
      <c r="D230" s="169">
        <f>+D229+D227+D217+D94</f>
        <v>-1943994.4</v>
      </c>
      <c r="E230" s="169">
        <f>+E229+E227+E217+E94</f>
        <v>-41703.288267251046</v>
      </c>
      <c r="F230" s="169">
        <f>+F229+F227+F217+F94</f>
        <v>-90852.642457293288</v>
      </c>
      <c r="G230" s="169">
        <f>+G229+G227+G217+G94</f>
        <v>-90852.642457293288</v>
      </c>
      <c r="H230" s="169">
        <f>+H229+H227+H217+H94</f>
        <v>-110217.30817339678</v>
      </c>
      <c r="I230" s="169">
        <f>+I229+I227+I217+I94</f>
        <v>-110217.30817339678</v>
      </c>
      <c r="J230" s="169">
        <f>+J229+J227+J217+J94</f>
        <v>-68828.378329150684</v>
      </c>
      <c r="K230" s="169">
        <f>+K229+K227+K217+K94</f>
        <v>607112.97559915285</v>
      </c>
      <c r="L230" s="169">
        <f>+L229+L227+L217+L94</f>
        <v>388052.85294131038</v>
      </c>
      <c r="M230" s="169">
        <f>+M229+M227+M217+M94</f>
        <v>433049.52741011896</v>
      </c>
      <c r="N230" s="169">
        <f>+N229+N227+N217+N94</f>
        <v>190204.43718013755</v>
      </c>
      <c r="O230" s="169">
        <f>+O229+O227+O217+O94</f>
        <v>89283.402544492797</v>
      </c>
      <c r="P230" s="169">
        <f>+P229+P227+P217+P94</f>
        <v>200391.34408536227</v>
      </c>
      <c r="Q230" s="169">
        <f>+Q229+Q227+Q217+Q94</f>
        <v>146585.66717813537</v>
      </c>
      <c r="R230" s="169">
        <f>+R229+R227+R217+R94</f>
        <v>164106.65438119241</v>
      </c>
      <c r="S230" s="169">
        <f>+S229+S227+S217+S94</f>
        <v>186354.86269791858</v>
      </c>
      <c r="T230" s="169">
        <f>+T229+T227+T217+T94</f>
        <v>132302.29299511577</v>
      </c>
      <c r="U230" s="169">
        <f>+U229+U227+U217+U94</f>
        <v>199577.27985892975</v>
      </c>
      <c r="V230" s="169">
        <f>+V229+V227+V217+V94</f>
        <v>196786.38648291695</v>
      </c>
      <c r="W230" s="169">
        <f>+W229+W227+W217+W94</f>
        <v>167332.30107600533</v>
      </c>
      <c r="X230" s="169">
        <f>+X229+X227+X217+X94</f>
        <v>163294.76498288702</v>
      </c>
      <c r="Y230" s="169">
        <f>+Y229+Y227+Y217+Y94</f>
        <v>87563.857197621721</v>
      </c>
      <c r="Z230" s="169">
        <f>+Z229+Z227+Z217+Z94</f>
        <v>72106.549729674996</v>
      </c>
      <c r="AA230" s="169">
        <f>+AA229+AA227+AA217+AA94</f>
        <v>51767.302395246923</v>
      </c>
      <c r="AB230" s="169">
        <f>+AB229+AB227+AB217+AB94</f>
        <v>10752.353990091011</v>
      </c>
      <c r="AC230" s="169">
        <f>+AC229+AC227+AC217+AC94</f>
        <v>16351.947359558369</v>
      </c>
      <c r="AD230" s="169">
        <f>+AD229+AD227+AD217+AD94</f>
        <v>17182.39553505322</v>
      </c>
      <c r="AE230" s="169">
        <f>+AE229+AE227+AE217+AE94</f>
        <v>-62193.64733684808</v>
      </c>
      <c r="AF230" s="169">
        <f>+AF229+AF227+AF217+AF94</f>
        <v>-71582.486395196815</v>
      </c>
      <c r="AG230" s="169">
        <f>+AG229+AG227+AG217+AG94</f>
        <v>-63727.235344964545</v>
      </c>
      <c r="AH230" s="169">
        <f>+AH229+AH227+AH217+AH94</f>
        <v>-182896.58453562506</v>
      </c>
      <c r="AI230" s="169">
        <f>+AI229+AI227+AI217+AI94</f>
        <v>-186907.45110925846</v>
      </c>
      <c r="AJ230" s="169">
        <f>+AJ229+AJ227+AJ217+AJ94</f>
        <v>-156270.69392172014</v>
      </c>
      <c r="AK230" s="169">
        <f>+AK229+AK227+AK217+AK94</f>
        <v>-133942.50232716091</v>
      </c>
      <c r="AL230" s="169">
        <f>+AL229+AL227+AL217+AL94</f>
        <v>-138713.95193810016</v>
      </c>
      <c r="AM230" s="169">
        <f>+AM229+AM227+AM217+AM94</f>
        <v>-22455.249776331359</v>
      </c>
      <c r="AN230" s="169">
        <f>+AN229+AN227+AN217+AN94</f>
        <v>1046331.7252454916</v>
      </c>
      <c r="AO230" s="169">
        <f>+AO229+AO227+AO217+AO94</f>
        <v>817358.50264188903</v>
      </c>
      <c r="AP230" s="169">
        <f>+AP229+AP227+AP217+AP94</f>
        <v>853672.11164446862</v>
      </c>
      <c r="AQ230" s="169">
        <f>+AQ229+AQ227+AQ217+AQ94</f>
        <v>108848.18567074218</v>
      </c>
      <c r="AR230" s="169">
        <f>+AR229+AR227+AR217+AR94</f>
        <v>118967.25934156089</v>
      </c>
      <c r="AS230" s="169">
        <f>+AS229+AS227+AS217+AS94</f>
        <v>133435.41199131752</v>
      </c>
      <c r="AT230" s="169">
        <f>+AT229+AT227+AT217+AT94</f>
        <v>1196474.9753496759</v>
      </c>
      <c r="AU230" s="169">
        <f>+AU229+AU227+AU217+AU94</f>
        <v>933270.30157572357</v>
      </c>
      <c r="AV230" s="169">
        <f>+AV229+AV227+AV217+AV94</f>
        <v>975762.48231410887</v>
      </c>
      <c r="AW230" s="169">
        <f>+AW229+AW227+AW217+AW94</f>
        <v>71632.581476404623</v>
      </c>
      <c r="AX230" s="169">
        <f>+AX229+AX227+AX217+AX94</f>
        <v>-80208.929680649831</v>
      </c>
      <c r="AY230" s="169">
        <f>+AY229+AY227+AY217+AY94</f>
        <v>-73887.837441318261</v>
      </c>
      <c r="AZ230" s="169">
        <f>+AZ229+AZ227+AZ217+AZ94</f>
        <v>942083.70910744648</v>
      </c>
      <c r="BA230" s="169">
        <f>+BA229+BA227+BA217+BA94</f>
        <v>739478.43796023866</v>
      </c>
      <c r="BB230" s="169">
        <f>+BB229+BB227+BB217+BB94</f>
        <v>749295.82178543229</v>
      </c>
      <c r="BC230" s="169">
        <f>+BC229+BC227+BC217+BC94</f>
        <v>-51630.908630485297</v>
      </c>
      <c r="BD230" s="169">
        <f>+BD229+BD227+BD217+BD94</f>
        <v>-63770.823415407169</v>
      </c>
      <c r="BE230" s="169">
        <f>+BE229+BE227+BE217+BE94</f>
        <v>-77886.373291388139</v>
      </c>
      <c r="BF230" s="169">
        <f>+BF229+BF227+BF217+BF94</f>
        <v>506547.66243927891</v>
      </c>
      <c r="BG230" s="169">
        <f>+BG229+BG227+BG217+BG94</f>
        <v>398433.74549168174</v>
      </c>
      <c r="BH230" s="169">
        <f>+BH229+BH227+BH217+BH94</f>
        <v>414936.38833900506</v>
      </c>
      <c r="BI230" s="169">
        <f>+BI229+BI227+BI217+BI94</f>
        <v>-7042</v>
      </c>
      <c r="BJ230" s="169">
        <f>+BJ229+BJ227+BJ217+BJ94</f>
        <v>0</v>
      </c>
      <c r="BK230" s="169">
        <f>+BK229+BK227+BK217+BK94</f>
        <v>0</v>
      </c>
      <c r="BL230" s="169">
        <f>+BL229+BL227+BL217+BL94</f>
        <v>0</v>
      </c>
      <c r="BM230" s="169">
        <f>+BM229+BM227+BM217+BM94</f>
        <v>0</v>
      </c>
      <c r="BN230" s="169">
        <f>+BN229+BN227+BN217+BN94</f>
        <v>0</v>
      </c>
      <c r="BO230" s="169">
        <f>+BO229+BO227+BO217+BO94</f>
        <v>0</v>
      </c>
      <c r="BP230" s="169">
        <f>+BP229+BP227+BP217+BP94</f>
        <v>0</v>
      </c>
      <c r="BQ230" s="169">
        <f>+BQ229+BQ227+BQ217+BQ94</f>
        <v>0</v>
      </c>
      <c r="BR230" s="398"/>
      <c r="BS230" s="398"/>
      <c r="BT230" s="398"/>
      <c r="BU230" s="398"/>
      <c r="BV230" s="398"/>
      <c r="BW230" s="398"/>
      <c r="BX230" s="398"/>
      <c r="BY230" s="398"/>
      <c r="BZ230" s="398"/>
      <c r="CA230" s="398"/>
      <c r="CB230" s="398"/>
    </row>
    <row r="231" spans="1:80" s="70" customFormat="1" ht="14" hidden="1">
      <c r="A231" s="66"/>
      <c r="B231" s="66"/>
      <c r="C231" s="478"/>
      <c r="D231" s="479"/>
      <c r="E231" s="479"/>
      <c r="F231" s="479"/>
      <c r="G231" s="479"/>
      <c r="H231" s="479"/>
      <c r="I231" s="479"/>
      <c r="J231" s="479"/>
      <c r="K231" s="479"/>
      <c r="L231" s="479"/>
      <c r="M231" s="479"/>
      <c r="N231" s="479"/>
      <c r="O231" s="66">
        <f>SUM(D229:O229)</f>
        <v>-36065.145018153831</v>
      </c>
      <c r="P231" s="479"/>
      <c r="Q231" s="479"/>
      <c r="R231" s="479"/>
      <c r="S231" s="479"/>
      <c r="T231" s="479"/>
      <c r="U231" s="479"/>
      <c r="V231" s="479"/>
      <c r="W231" s="479"/>
      <c r="X231" s="479"/>
      <c r="Y231" s="479"/>
      <c r="Z231" s="479"/>
      <c r="AA231" s="66">
        <f>SUM(P229:AA229)</f>
        <v>-46090.029675534359</v>
      </c>
      <c r="AB231" s="479"/>
      <c r="AC231" s="479"/>
      <c r="AD231" s="479"/>
      <c r="AE231" s="479"/>
      <c r="AF231" s="479"/>
      <c r="AG231" s="479"/>
      <c r="AH231" s="479"/>
      <c r="AI231" s="479"/>
      <c r="AJ231" s="479"/>
      <c r="AK231" s="479"/>
      <c r="AL231" s="479"/>
      <c r="AM231" s="66">
        <f>SUM(AB229:AM229)</f>
        <v>-91049.261549563089</v>
      </c>
      <c r="AN231" s="479"/>
      <c r="AO231" s="479"/>
      <c r="AP231" s="479"/>
      <c r="AQ231" s="479"/>
      <c r="AR231" s="479"/>
      <c r="AS231" s="479"/>
      <c r="AT231" s="479"/>
      <c r="AU231" s="479"/>
      <c r="AV231" s="479"/>
      <c r="AW231" s="480"/>
      <c r="AX231" s="479"/>
      <c r="AY231" s="66">
        <f>SUM(AN229:AY229)</f>
        <v>-112563.5961241288</v>
      </c>
      <c r="AZ231" s="479"/>
      <c r="BA231" s="479"/>
      <c r="BB231" s="479"/>
      <c r="BC231" s="479"/>
      <c r="BD231" s="479"/>
      <c r="BE231" s="479"/>
      <c r="BF231" s="479"/>
      <c r="BG231" s="479"/>
      <c r="BH231" s="479"/>
      <c r="BI231" s="479"/>
      <c r="BJ231" s="479"/>
      <c r="BK231" s="66">
        <f>SUM(AZ229:BK229)</f>
        <v>-38290.232477557242</v>
      </c>
      <c r="BL231" s="479"/>
      <c r="BM231" s="479"/>
      <c r="BN231" s="479"/>
      <c r="BO231" s="479"/>
      <c r="BP231" s="479"/>
      <c r="BQ231" s="479"/>
      <c r="BR231" s="481"/>
      <c r="BS231" s="481"/>
      <c r="BT231" s="481"/>
      <c r="BU231" s="481"/>
      <c r="BV231" s="481"/>
      <c r="BW231" s="481"/>
      <c r="BX231" s="481"/>
      <c r="BY231" s="481"/>
      <c r="BZ231" s="481"/>
      <c r="CA231" s="481"/>
      <c r="CB231" s="481"/>
    </row>
    <row r="232" spans="1:80" s="70" customFormat="1" ht="14" hidden="1">
      <c r="A232" s="62" t="s">
        <v>95</v>
      </c>
      <c r="B232" s="66"/>
      <c r="C232" s="478"/>
      <c r="D232" s="479"/>
      <c r="E232" s="479"/>
      <c r="F232" s="479"/>
      <c r="G232" s="479"/>
      <c r="H232" s="479"/>
      <c r="I232" s="479"/>
      <c r="J232" s="479"/>
      <c r="K232" s="479"/>
      <c r="L232" s="479"/>
      <c r="M232" s="479"/>
      <c r="N232" s="479"/>
      <c r="O232" s="479"/>
      <c r="P232" s="479"/>
      <c r="Q232" s="479"/>
      <c r="R232" s="479"/>
      <c r="S232" s="479"/>
      <c r="T232" s="479"/>
      <c r="U232" s="479"/>
      <c r="V232" s="479"/>
      <c r="W232" s="479"/>
      <c r="X232" s="479"/>
      <c r="Y232" s="479"/>
      <c r="Z232" s="479"/>
      <c r="AA232" s="479"/>
      <c r="AB232" s="479"/>
      <c r="AC232" s="479"/>
      <c r="AD232" s="479"/>
      <c r="AE232" s="479"/>
      <c r="AF232" s="479"/>
      <c r="AG232" s="479"/>
      <c r="AH232" s="479"/>
      <c r="AI232" s="479"/>
      <c r="AJ232" s="479"/>
      <c r="AK232" s="479"/>
      <c r="AL232" s="479"/>
      <c r="AM232" s="479"/>
      <c r="AN232" s="479"/>
      <c r="AO232" s="479"/>
      <c r="AP232" s="479"/>
      <c r="AQ232" s="479"/>
      <c r="AR232" s="479"/>
      <c r="AS232" s="479"/>
      <c r="AT232" s="479"/>
      <c r="AU232" s="479"/>
      <c r="AV232" s="479"/>
      <c r="AW232" s="480"/>
      <c r="AX232" s="479"/>
      <c r="AY232" s="479"/>
      <c r="AZ232" s="479"/>
      <c r="BA232" s="479"/>
      <c r="BB232" s="479"/>
      <c r="BC232" s="479"/>
      <c r="BD232" s="479"/>
      <c r="BE232" s="479"/>
      <c r="BF232" s="479"/>
      <c r="BG232" s="479"/>
      <c r="BH232" s="479"/>
      <c r="BI232" s="479"/>
      <c r="BJ232" s="479"/>
      <c r="BK232" s="479"/>
      <c r="BL232" s="479"/>
      <c r="BM232" s="479"/>
      <c r="BN232" s="479"/>
      <c r="BO232" s="479"/>
      <c r="BP232" s="479"/>
      <c r="BQ232" s="479"/>
      <c r="BR232" s="481"/>
      <c r="BS232" s="481"/>
      <c r="BT232" s="481"/>
      <c r="BU232" s="481"/>
      <c r="BV232" s="481"/>
      <c r="BW232" s="481"/>
      <c r="BX232" s="481"/>
      <c r="BY232" s="481"/>
      <c r="BZ232" s="481"/>
      <c r="CA232" s="481"/>
      <c r="CB232" s="481"/>
    </row>
    <row r="233" spans="1:80" s="152" customFormat="1" ht="14" hidden="1" outlineLevel="1">
      <c r="A233" s="253" t="s">
        <v>143</v>
      </c>
      <c r="B233" s="679"/>
      <c r="C233" s="679">
        <f>SUM(D233:BQ233)</f>
        <v>11640900.214993155</v>
      </c>
      <c r="D233" s="253">
        <v>0</v>
      </c>
      <c r="E233" s="253">
        <f>+E229+E227+E217+E94</f>
        <v>-41703.288267251046</v>
      </c>
      <c r="F233" s="253">
        <f>+F229+F227+F217+F94</f>
        <v>-90852.642457293288</v>
      </c>
      <c r="G233" s="253">
        <f>+G229+G227+G217+G94</f>
        <v>-90852.642457293288</v>
      </c>
      <c r="H233" s="253">
        <f>+H229+H227+H217+H94</f>
        <v>-110217.30817339678</v>
      </c>
      <c r="I233" s="253">
        <f>+I229+I227+I217+I94</f>
        <v>-110217.30817339678</v>
      </c>
      <c r="J233" s="253">
        <f>+J229+J227+J217+J94</f>
        <v>-68828.378329150684</v>
      </c>
      <c r="K233" s="253">
        <f>+K229+K227+K217+K94</f>
        <v>607112.97559915285</v>
      </c>
      <c r="L233" s="253">
        <f>+L229+L227+L217+L94</f>
        <v>388052.85294131038</v>
      </c>
      <c r="M233" s="253">
        <f>+M229+M227+M217+M94</f>
        <v>433049.52741011896</v>
      </c>
      <c r="N233" s="253">
        <f>+N229+N227+N217+N94</f>
        <v>190204.43718013755</v>
      </c>
      <c r="O233" s="253">
        <f>+O229+O227+O217+O94</f>
        <v>89283.402544492797</v>
      </c>
      <c r="P233" s="253">
        <f>+P229+P227+P217+P94</f>
        <v>200391.34408536227</v>
      </c>
      <c r="Q233" s="253">
        <f>+Q229+Q227+Q217+Q94</f>
        <v>146585.66717813537</v>
      </c>
      <c r="R233" s="253">
        <f>+R229+R227+R217+R94</f>
        <v>164106.65438119241</v>
      </c>
      <c r="S233" s="253">
        <f>+S229+S227+S217+S94</f>
        <v>186354.86269791858</v>
      </c>
      <c r="T233" s="253">
        <f>+T229+T227+T217+T94</f>
        <v>132302.29299511577</v>
      </c>
      <c r="U233" s="253">
        <f>+U229+U227+U217+U94</f>
        <v>199577.27985892975</v>
      </c>
      <c r="V233" s="253">
        <f>+V229+V227+V217+V94</f>
        <v>196786.38648291695</v>
      </c>
      <c r="W233" s="253">
        <f>+W229+W227+W217+W94</f>
        <v>167332.30107600533</v>
      </c>
      <c r="X233" s="253">
        <f>+X229+X227+X217+X94</f>
        <v>163294.76498288702</v>
      </c>
      <c r="Y233" s="253">
        <f>+Y229+Y227+Y217+Y94</f>
        <v>87563.857197621721</v>
      </c>
      <c r="Z233" s="253">
        <f>+Z229+Z227+Z217+Z94</f>
        <v>72106.549729674996</v>
      </c>
      <c r="AA233" s="253">
        <f>+AA229+AA227+AA217+AA94</f>
        <v>51767.302395246923</v>
      </c>
      <c r="AB233" s="253">
        <f>+AB229+AB227+AB217+AB94</f>
        <v>10752.353990091011</v>
      </c>
      <c r="AC233" s="253">
        <f>+AC229+AC227+AC217+AC94</f>
        <v>16351.947359558369</v>
      </c>
      <c r="AD233" s="253">
        <f>+AD229+AD227+AD217+AD94</f>
        <v>17182.39553505322</v>
      </c>
      <c r="AE233" s="253">
        <f>+AE229+AE227+AE217+AE94</f>
        <v>-62193.64733684808</v>
      </c>
      <c r="AF233" s="253">
        <f>+AF229+AF227+AF217+AF94</f>
        <v>-71582.486395196815</v>
      </c>
      <c r="AG233" s="253">
        <f>+AG229+AG227+AG217+AG94</f>
        <v>-63727.235344964545</v>
      </c>
      <c r="AH233" s="253">
        <f>+AH229+AH227+AH217+AH94</f>
        <v>-182896.58453562506</v>
      </c>
      <c r="AI233" s="253">
        <f>+AI229+AI227+AI217+AI94</f>
        <v>-186907.45110925846</v>
      </c>
      <c r="AJ233" s="253">
        <f>+AJ229+AJ227+AJ217+AJ94</f>
        <v>-156270.69392172014</v>
      </c>
      <c r="AK233" s="253">
        <f>+AK229+AK227+AK217+AK94</f>
        <v>-133942.50232716091</v>
      </c>
      <c r="AL233" s="253">
        <f>+AL229+AL227+AL217+AL94</f>
        <v>-138713.95193810016</v>
      </c>
      <c r="AM233" s="253">
        <f>+AM229+AM227+AM217+AM94</f>
        <v>-22455.249776331359</v>
      </c>
      <c r="AN233" s="253">
        <f>+AN229+AN227+AN217+AN94</f>
        <v>1046331.7252454916</v>
      </c>
      <c r="AO233" s="253">
        <f>+AO229+AO227+AO217+AO94</f>
        <v>817358.50264188903</v>
      </c>
      <c r="AP233" s="253">
        <f>+AP229+AP227+AP217+AP94</f>
        <v>853672.11164446862</v>
      </c>
      <c r="AQ233" s="253">
        <f>+AQ229+AQ227+AQ217+AQ94</f>
        <v>108848.18567074218</v>
      </c>
      <c r="AR233" s="253">
        <f>+AR229+AR227+AR217+AR94</f>
        <v>118967.25934156089</v>
      </c>
      <c r="AS233" s="253">
        <f>+AS229+AS227+AS217+AS94</f>
        <v>133435.41199131752</v>
      </c>
      <c r="AT233" s="253">
        <f>+AT229+AT227+AT217+AT94</f>
        <v>1196474.9753496759</v>
      </c>
      <c r="AU233" s="253">
        <f>+AU229+AU227+AU217+AU94</f>
        <v>933270.30157572357</v>
      </c>
      <c r="AV233" s="253">
        <f>+AV229+AV227+AV217+AV94</f>
        <v>975762.48231410887</v>
      </c>
      <c r="AW233" s="253">
        <f>+AW229+AW227+AW217+AW94</f>
        <v>71632.581476404623</v>
      </c>
      <c r="AX233" s="253">
        <f>+AX229+AX227+AX217+AX94</f>
        <v>-80208.929680649831</v>
      </c>
      <c r="AY233" s="253">
        <f>+AY229+AY227+AY217+AY94</f>
        <v>-73887.837441318261</v>
      </c>
      <c r="AZ233" s="253">
        <f>+AZ229+AZ227+AZ217+AZ94</f>
        <v>942083.70910744648</v>
      </c>
      <c r="BA233" s="253">
        <f>+BA229+BA227+BA217+BA94</f>
        <v>739478.43796023866</v>
      </c>
      <c r="BB233" s="253">
        <f>+BB229+BB227+BB217+BB94</f>
        <v>749295.82178543229</v>
      </c>
      <c r="BC233" s="253">
        <f>+BC229+BC227+BC217+BC94</f>
        <v>-51630.908630485297</v>
      </c>
      <c r="BD233" s="253">
        <f>+BD229+BD227+BD217+BD94</f>
        <v>-63770.823415407169</v>
      </c>
      <c r="BE233" s="253">
        <f>+BE229+BE227+BE217+BE94</f>
        <v>-77886.373291388139</v>
      </c>
      <c r="BF233" s="253">
        <f>+BF229+BF227+BF217+BF94</f>
        <v>506547.66243927891</v>
      </c>
      <c r="BG233" s="253">
        <f>+BG229+BG227+BG217+BG94</f>
        <v>398433.74549168174</v>
      </c>
      <c r="BH233" s="253">
        <f>+BH229+BH227+BH217+BH94</f>
        <v>414936.38833900506</v>
      </c>
      <c r="BI233" s="253">
        <f>+BI229+BI227+BI217+BI94</f>
        <v>-7042</v>
      </c>
      <c r="BJ233" s="253">
        <f>+BJ229+BJ227+BJ217+BJ94</f>
        <v>0</v>
      </c>
      <c r="BK233" s="253">
        <f>+BK229+BK227+BK217+BK94</f>
        <v>0</v>
      </c>
      <c r="BL233" s="253">
        <f>+BL229+BL227+BL217+BL94</f>
        <v>0</v>
      </c>
      <c r="BM233" s="253">
        <f>+BM229+BM227+BM217+BM94</f>
        <v>0</v>
      </c>
      <c r="BN233" s="253">
        <f>+BN229+BN227+BN217+BN94</f>
        <v>0</v>
      </c>
      <c r="BO233" s="253">
        <f>+BO229+BO227+BO217+BO94</f>
        <v>0</v>
      </c>
      <c r="BP233" s="253">
        <f>+BP229+BP227+BP217+BP94</f>
        <v>0</v>
      </c>
      <c r="BQ233" s="253">
        <f>+BQ229+BQ227+BQ217+BQ94</f>
        <v>0</v>
      </c>
    </row>
    <row r="234" spans="1:80" s="169" customFormat="1" ht="14" hidden="1" outlineLevel="1">
      <c r="A234" s="169" t="s">
        <v>10</v>
      </c>
      <c r="C234" s="137"/>
      <c r="D234" s="169">
        <f>+D233</f>
        <v>0</v>
      </c>
      <c r="E234" s="169">
        <f>+E233+D234</f>
        <v>-41703.288267251046</v>
      </c>
      <c r="F234" s="169">
        <f t="shared" ref="F234:BQ234" si="221">+F233+E234</f>
        <v>-132555.93072454433</v>
      </c>
      <c r="G234" s="169">
        <f t="shared" si="221"/>
        <v>-223408.57318183762</v>
      </c>
      <c r="H234" s="169">
        <f t="shared" si="221"/>
        <v>-333625.88135523442</v>
      </c>
      <c r="I234" s="169">
        <f t="shared" si="221"/>
        <v>-443843.18952863122</v>
      </c>
      <c r="J234" s="169">
        <f t="shared" si="221"/>
        <v>-512671.56785778189</v>
      </c>
      <c r="K234" s="169">
        <f t="shared" si="221"/>
        <v>94441.40774137096</v>
      </c>
      <c r="L234" s="169">
        <f t="shared" si="221"/>
        <v>482494.26068268134</v>
      </c>
      <c r="M234" s="169">
        <f t="shared" si="221"/>
        <v>915543.7880928003</v>
      </c>
      <c r="N234" s="169">
        <f t="shared" si="221"/>
        <v>1105748.2252729379</v>
      </c>
      <c r="O234" s="169">
        <f t="shared" si="221"/>
        <v>1195031.6278174308</v>
      </c>
      <c r="P234" s="169">
        <f t="shared" si="221"/>
        <v>1395422.971902793</v>
      </c>
      <c r="Q234" s="169">
        <f t="shared" si="221"/>
        <v>1542008.6390809284</v>
      </c>
      <c r="R234" s="169">
        <f t="shared" si="221"/>
        <v>1706115.2934621209</v>
      </c>
      <c r="S234" s="169">
        <f t="shared" si="221"/>
        <v>1892470.1561600396</v>
      </c>
      <c r="T234" s="169">
        <f t="shared" si="221"/>
        <v>2024772.4491551553</v>
      </c>
      <c r="U234" s="169">
        <f t="shared" si="221"/>
        <v>2224349.7290140851</v>
      </c>
      <c r="V234" s="169">
        <f t="shared" si="221"/>
        <v>2421136.1154970019</v>
      </c>
      <c r="W234" s="169">
        <f t="shared" si="221"/>
        <v>2588468.4165730071</v>
      </c>
      <c r="X234" s="169">
        <f t="shared" si="221"/>
        <v>2751763.1815558942</v>
      </c>
      <c r="Y234" s="169">
        <f t="shared" si="221"/>
        <v>2839327.038753516</v>
      </c>
      <c r="Z234" s="169">
        <f t="shared" si="221"/>
        <v>2911433.5884831911</v>
      </c>
      <c r="AA234" s="169">
        <f t="shared" si="221"/>
        <v>2963200.890878438</v>
      </c>
      <c r="AB234" s="169">
        <f t="shared" si="221"/>
        <v>2973953.244868529</v>
      </c>
      <c r="AC234" s="169">
        <f t="shared" si="221"/>
        <v>2990305.1922280872</v>
      </c>
      <c r="AD234" s="169">
        <f t="shared" si="221"/>
        <v>3007487.5877631404</v>
      </c>
      <c r="AE234" s="169">
        <f t="shared" si="221"/>
        <v>2945293.9404262924</v>
      </c>
      <c r="AF234" s="169">
        <f t="shared" si="221"/>
        <v>2873711.4540310954</v>
      </c>
      <c r="AG234" s="169">
        <f t="shared" si="221"/>
        <v>2809984.2186861308</v>
      </c>
      <c r="AH234" s="169">
        <f t="shared" si="221"/>
        <v>2627087.634150506</v>
      </c>
      <c r="AI234" s="169">
        <f t="shared" si="221"/>
        <v>2440180.1830412475</v>
      </c>
      <c r="AJ234" s="169">
        <f t="shared" si="221"/>
        <v>2283909.4891195274</v>
      </c>
      <c r="AK234" s="169">
        <f t="shared" si="221"/>
        <v>2149966.9867923665</v>
      </c>
      <c r="AL234" s="169">
        <f t="shared" si="221"/>
        <v>2011253.0348542663</v>
      </c>
      <c r="AM234" s="169">
        <f t="shared" si="221"/>
        <v>1988797.7850779351</v>
      </c>
      <c r="AN234" s="169">
        <f t="shared" si="221"/>
        <v>3035129.5103234267</v>
      </c>
      <c r="AO234" s="169">
        <f t="shared" si="221"/>
        <v>3852488.012965316</v>
      </c>
      <c r="AP234" s="169">
        <f t="shared" si="221"/>
        <v>4706160.1246097842</v>
      </c>
      <c r="AQ234" s="169">
        <f t="shared" si="221"/>
        <v>4815008.3102805261</v>
      </c>
      <c r="AR234" s="169">
        <f t="shared" si="221"/>
        <v>4933975.5696220873</v>
      </c>
      <c r="AS234" s="169">
        <f t="shared" si="221"/>
        <v>5067410.981613405</v>
      </c>
      <c r="AT234" s="169">
        <f t="shared" si="221"/>
        <v>6263885.9569630809</v>
      </c>
      <c r="AU234" s="169">
        <f t="shared" si="221"/>
        <v>7197156.2585388049</v>
      </c>
      <c r="AV234" s="169">
        <f t="shared" si="221"/>
        <v>8172918.7408529138</v>
      </c>
      <c r="AW234" s="169">
        <f t="shared" si="221"/>
        <v>8244551.3223293182</v>
      </c>
      <c r="AX234" s="169">
        <f t="shared" si="221"/>
        <v>8164342.392648668</v>
      </c>
      <c r="AY234" s="169">
        <f t="shared" si="221"/>
        <v>8090454.5552073494</v>
      </c>
      <c r="AZ234" s="169">
        <f t="shared" si="221"/>
        <v>9032538.2643147968</v>
      </c>
      <c r="BA234" s="169">
        <f t="shared" si="221"/>
        <v>9772016.7022750359</v>
      </c>
      <c r="BB234" s="169">
        <f t="shared" si="221"/>
        <v>10521312.524060469</v>
      </c>
      <c r="BC234" s="169">
        <f t="shared" si="221"/>
        <v>10469681.615429984</v>
      </c>
      <c r="BD234" s="169">
        <f t="shared" si="221"/>
        <v>10405910.792014576</v>
      </c>
      <c r="BE234" s="169">
        <f t="shared" si="221"/>
        <v>10328024.418723188</v>
      </c>
      <c r="BF234" s="169">
        <f t="shared" si="221"/>
        <v>10834572.081162468</v>
      </c>
      <c r="BG234" s="169">
        <f t="shared" si="221"/>
        <v>11233005.826654149</v>
      </c>
      <c r="BH234" s="169">
        <f t="shared" si="221"/>
        <v>11647942.214993155</v>
      </c>
      <c r="BI234" s="169">
        <f t="shared" si="221"/>
        <v>11640900.214993155</v>
      </c>
      <c r="BJ234" s="169">
        <f t="shared" si="221"/>
        <v>11640900.214993155</v>
      </c>
      <c r="BK234" s="169">
        <f t="shared" si="221"/>
        <v>11640900.214993155</v>
      </c>
      <c r="BL234" s="169">
        <f t="shared" si="221"/>
        <v>11640900.214993155</v>
      </c>
      <c r="BM234" s="169">
        <f t="shared" si="221"/>
        <v>11640900.214993155</v>
      </c>
      <c r="BN234" s="169">
        <f t="shared" si="221"/>
        <v>11640900.214993155</v>
      </c>
      <c r="BO234" s="169">
        <f t="shared" si="221"/>
        <v>11640900.214993155</v>
      </c>
      <c r="BP234" s="169">
        <f t="shared" si="221"/>
        <v>11640900.214993155</v>
      </c>
      <c r="BQ234" s="169">
        <f t="shared" si="221"/>
        <v>11640900.214993155</v>
      </c>
    </row>
    <row r="235" spans="1:80" s="152" customFormat="1" ht="14" hidden="1" outlineLevel="1">
      <c r="A235" s="153"/>
      <c r="B235" s="266"/>
      <c r="BA235" s="16"/>
      <c r="BB235" s="16"/>
      <c r="BC235" s="16"/>
      <c r="BD235" s="16"/>
      <c r="BE235" s="16"/>
      <c r="BF235" s="16"/>
      <c r="BG235" s="16"/>
      <c r="BH235" s="16"/>
      <c r="BI235" s="16"/>
      <c r="BJ235" s="16"/>
      <c r="BK235" s="16"/>
      <c r="BL235" s="16"/>
      <c r="BM235" s="16"/>
      <c r="BN235" s="16"/>
    </row>
    <row r="236" spans="1:80" s="169" customFormat="1" ht="14" hidden="1" outlineLevel="1">
      <c r="A236" s="269" t="s">
        <v>201</v>
      </c>
      <c r="B236" s="609"/>
      <c r="C236" s="609">
        <f>SUM(D236:BQ236)</f>
        <v>0.99999999999999989</v>
      </c>
      <c r="D236" s="269"/>
      <c r="E236" s="269">
        <f>+E69/$C$69</f>
        <v>0</v>
      </c>
      <c r="F236" s="269">
        <f>+F69/$C$69</f>
        <v>0</v>
      </c>
      <c r="G236" s="269">
        <f>+G69/$C$69</f>
        <v>0</v>
      </c>
      <c r="H236" s="269">
        <f>+H69/$C$69</f>
        <v>0</v>
      </c>
      <c r="I236" s="269">
        <f>+I69/$C$69</f>
        <v>0</v>
      </c>
      <c r="J236" s="269">
        <f>+J69/$C$69</f>
        <v>0</v>
      </c>
      <c r="K236" s="269">
        <f>+K69/$C$69</f>
        <v>0</v>
      </c>
      <c r="L236" s="269">
        <f>+L69/$C$69</f>
        <v>0</v>
      </c>
      <c r="M236" s="269">
        <f>+M69/$C$69</f>
        <v>0</v>
      </c>
      <c r="N236" s="269">
        <f>+N69/$C$69</f>
        <v>1.0010062565628189E-2</v>
      </c>
      <c r="O236" s="269">
        <f>+O69/$C$69</f>
        <v>1.0010062565628189E-2</v>
      </c>
      <c r="P236" s="269">
        <f>+P69/$C$69</f>
        <v>9.7669857017964844E-3</v>
      </c>
      <c r="Q236" s="269">
        <f>+Q69/$C$69</f>
        <v>9.7669857017964844E-3</v>
      </c>
      <c r="R236" s="269">
        <f>+R69/$C$69</f>
        <v>9.7669857017964844E-3</v>
      </c>
      <c r="S236" s="269">
        <f>+S69/$C$69</f>
        <v>9.9020432913261135E-3</v>
      </c>
      <c r="T236" s="269">
        <f>+T69/$C$69</f>
        <v>1.1156680901433081E-2</v>
      </c>
      <c r="U236" s="269">
        <f>+U69/$C$69</f>
        <v>7.527825660641807E-3</v>
      </c>
      <c r="V236" s="269">
        <f>+V69/$C$69</f>
        <v>8.7824632707487766E-3</v>
      </c>
      <c r="W236" s="269">
        <f>+W69/$C$69</f>
        <v>1.0037100880855743E-2</v>
      </c>
      <c r="X236" s="269">
        <f>+X69/$C$69</f>
        <v>1.1291738490962711E-2</v>
      </c>
      <c r="Y236" s="269">
        <f>+Y69/$C$69</f>
        <v>1.7453403198376932E-2</v>
      </c>
      <c r="Z236" s="269">
        <f>+Z69/$C$69</f>
        <v>1.9934797582810714E-2</v>
      </c>
      <c r="AA236" s="269">
        <f>+AA69/$C$69</f>
        <v>2.2416191967244495E-2</v>
      </c>
      <c r="AB236" s="269">
        <f>+AB69/$C$69</f>
        <v>2.4897586351678273E-2</v>
      </c>
      <c r="AC236" s="269">
        <f>+AC69/$C$69</f>
        <v>2.6124343126005086E-2</v>
      </c>
      <c r="AD236" s="269">
        <f>+AD69/$C$69</f>
        <v>2.73510999003319E-2</v>
      </c>
      <c r="AE236" s="269">
        <f>+AE69/$C$69</f>
        <v>3.3484883771965963E-2</v>
      </c>
      <c r="AF236" s="269">
        <f>+AF69/$C$69</f>
        <v>3.593839732061959E-2</v>
      </c>
      <c r="AG236" s="269">
        <f>+AG69/$C$69</f>
        <v>3.7137273259166249E-2</v>
      </c>
      <c r="AH236" s="269">
        <f>+AH69/$C$69</f>
        <v>4.6127789476674147E-2</v>
      </c>
      <c r="AI236" s="269">
        <f>+AI69/$C$69</f>
        <v>4.6099908640893993E-2</v>
      </c>
      <c r="AJ236" s="269">
        <f>+AJ69/$C$69</f>
        <v>4.6072027805113845E-2</v>
      </c>
      <c r="AK236" s="269">
        <f>+AK69/$C$69</f>
        <v>4.5159457094109789E-2</v>
      </c>
      <c r="AL236" s="269">
        <f>+AL69/$C$69</f>
        <v>4.8353540602937867E-2</v>
      </c>
      <c r="AM236" s="269">
        <f>+AM69/$C$69</f>
        <v>4.3955865419414458E-2</v>
      </c>
      <c r="AN236" s="269">
        <f>+AN69/$C$69</f>
        <v>3.4711640546292784E-2</v>
      </c>
      <c r="AO236" s="269">
        <f>+AO69/$C$69</f>
        <v>3.4237666338030152E-2</v>
      </c>
      <c r="AP236" s="269">
        <f>+AP69/$C$69</f>
        <v>3.3763692129767521E-2</v>
      </c>
      <c r="AQ236" s="269">
        <f>+AQ69/$C$69</f>
        <v>3.3289717921504883E-2</v>
      </c>
      <c r="AR236" s="269">
        <f>+AR69/$C$69</f>
        <v>3.5230054785596439E-2</v>
      </c>
      <c r="AS236" s="269">
        <f>+AS69/$C$69</f>
        <v>3.3529323803006994E-2</v>
      </c>
      <c r="AT236" s="269">
        <f>+AT69/$C$69</f>
        <v>2.3280497876429298E-2</v>
      </c>
      <c r="AU236" s="269">
        <f>+AU69/$C$69</f>
        <v>2.2053741102102484E-2</v>
      </c>
      <c r="AV236" s="269">
        <f>+AV69/$C$69</f>
        <v>2.0826984327775671E-2</v>
      </c>
      <c r="AW236" s="269">
        <f>+AW69/$C$69</f>
        <v>1.9600227553448858E-2</v>
      </c>
      <c r="AX236" s="269">
        <f>+AX69/$C$69</f>
        <v>2.0787781851476232E-2</v>
      </c>
      <c r="AY236" s="269">
        <f>+AY69/$C$69</f>
        <v>1.8808242511085239E-2</v>
      </c>
      <c r="AZ236" s="269">
        <f>+AZ69/$C$69</f>
        <v>8.2806082267059891E-3</v>
      </c>
      <c r="BA236" s="269">
        <f>+BA69/$C$69</f>
        <v>7.5278256606418088E-3</v>
      </c>
      <c r="BB236" s="269">
        <f>+BB69/$C$69</f>
        <v>6.7750430945776267E-3</v>
      </c>
      <c r="BC236" s="269">
        <f>+BC69/$C$69</f>
        <v>6.0222605285134472E-3</v>
      </c>
      <c r="BD236" s="269">
        <f>+BD69/$C$69</f>
        <v>6.7509870295756995E-3</v>
      </c>
      <c r="BE236" s="269">
        <f>+BE69/$C$69</f>
        <v>5.9982044635115183E-3</v>
      </c>
      <c r="BF236" s="269">
        <f>+BF69/$C$69</f>
        <v>0</v>
      </c>
      <c r="BG236" s="269"/>
      <c r="BH236" s="269"/>
      <c r="BI236" s="269"/>
      <c r="BJ236" s="269"/>
      <c r="BK236" s="269"/>
      <c r="BL236" s="269"/>
      <c r="BM236" s="269"/>
      <c r="BN236" s="269"/>
      <c r="BO236" s="269"/>
      <c r="BP236" s="269"/>
      <c r="BQ236" s="269"/>
    </row>
    <row r="237" spans="1:80" s="169" customFormat="1" ht="14" hidden="1" outlineLevel="1">
      <c r="A237" s="270"/>
      <c r="B237" s="611"/>
      <c r="C237" s="611"/>
      <c r="D237" s="482"/>
      <c r="E237" s="482">
        <f>+D237+E236</f>
        <v>0</v>
      </c>
      <c r="F237" s="482">
        <f t="shared" ref="F237" si="222">+E237+F236</f>
        <v>0</v>
      </c>
      <c r="G237" s="482">
        <f t="shared" ref="G237" si="223">+F237+G236</f>
        <v>0</v>
      </c>
      <c r="H237" s="482">
        <f t="shared" ref="H237" si="224">+G237+H236</f>
        <v>0</v>
      </c>
      <c r="I237" s="482">
        <f t="shared" ref="I237" si="225">+H237+I236</f>
        <v>0</v>
      </c>
      <c r="J237" s="482">
        <f t="shared" ref="J237" si="226">+I237+J236</f>
        <v>0</v>
      </c>
      <c r="K237" s="482">
        <f t="shared" ref="K237" si="227">+J237+K236</f>
        <v>0</v>
      </c>
      <c r="L237" s="482">
        <f t="shared" ref="L237" si="228">+K237+L236</f>
        <v>0</v>
      </c>
      <c r="M237" s="482">
        <f t="shared" ref="M237" si="229">+L237+M236</f>
        <v>0</v>
      </c>
      <c r="N237" s="482">
        <f t="shared" ref="N237" si="230">+M237+N236</f>
        <v>1.0010062565628189E-2</v>
      </c>
      <c r="O237" s="482">
        <f t="shared" ref="O237" si="231">+N237+O236</f>
        <v>2.0020125131256377E-2</v>
      </c>
      <c r="P237" s="482">
        <f t="shared" ref="P237" si="232">+O237+P236</f>
        <v>2.9787110833052861E-2</v>
      </c>
      <c r="Q237" s="482">
        <f t="shared" ref="Q237" si="233">+P237+Q236</f>
        <v>3.9554096534849342E-2</v>
      </c>
      <c r="R237" s="482">
        <f t="shared" ref="R237" si="234">+Q237+R236</f>
        <v>4.932108223664583E-2</v>
      </c>
      <c r="S237" s="482">
        <f t="shared" ref="S237" si="235">+R237+S236</f>
        <v>5.9223125527971945E-2</v>
      </c>
      <c r="T237" s="482">
        <f t="shared" ref="T237" si="236">+S237+T236</f>
        <v>7.0379806429405029E-2</v>
      </c>
      <c r="U237" s="482">
        <f t="shared" ref="U237" si="237">+T237+U236</f>
        <v>7.7907632090046836E-2</v>
      </c>
      <c r="V237" s="482">
        <f t="shared" ref="V237" si="238">+U237+V236</f>
        <v>8.669009536079561E-2</v>
      </c>
      <c r="W237" s="482">
        <f t="shared" ref="W237" si="239">+V237+W236</f>
        <v>9.6727196241651353E-2</v>
      </c>
      <c r="X237" s="482">
        <f t="shared" ref="X237" si="240">+W237+X236</f>
        <v>0.10801893473261406</v>
      </c>
      <c r="Y237" s="482">
        <f t="shared" ref="Y237" si="241">+X237+Y236</f>
        <v>0.125472337930991</v>
      </c>
      <c r="Z237" s="482">
        <f t="shared" ref="Z237" si="242">+Y237+Z236</f>
        <v>0.14540713551380172</v>
      </c>
      <c r="AA237" s="482">
        <f t="shared" ref="AA237" si="243">+Z237+AA236</f>
        <v>0.16782332748104622</v>
      </c>
      <c r="AB237" s="482">
        <f t="shared" ref="AB237" si="244">+AA237+AB236</f>
        <v>0.19272091383272449</v>
      </c>
      <c r="AC237" s="482">
        <f t="shared" ref="AC237" si="245">+AB237+AC236</f>
        <v>0.21884525695872958</v>
      </c>
      <c r="AD237" s="482">
        <f t="shared" ref="AD237" si="246">+AC237+AD236</f>
        <v>0.24619635685906149</v>
      </c>
      <c r="AE237" s="482">
        <f t="shared" ref="AE237" si="247">+AD237+AE236</f>
        <v>0.27968124063102745</v>
      </c>
      <c r="AF237" s="482">
        <f t="shared" ref="AF237" si="248">+AE237+AF236</f>
        <v>0.31561963795164705</v>
      </c>
      <c r="AG237" s="482">
        <f t="shared" ref="AG237" si="249">+AF237+AG236</f>
        <v>0.35275691121081332</v>
      </c>
      <c r="AH237" s="482">
        <f t="shared" ref="AH237" si="250">+AG237+AH236</f>
        <v>0.39888470068748749</v>
      </c>
      <c r="AI237" s="482">
        <f t="shared" ref="AI237" si="251">+AH237+AI236</f>
        <v>0.44498460932838146</v>
      </c>
      <c r="AJ237" s="482">
        <f t="shared" ref="AJ237" si="252">+AI237+AJ236</f>
        <v>0.49105663713349529</v>
      </c>
      <c r="AK237" s="482">
        <f t="shared" ref="AK237" si="253">+AJ237+AK236</f>
        <v>0.53621609422760508</v>
      </c>
      <c r="AL237" s="482">
        <f t="shared" ref="AL237" si="254">+AK237+AL236</f>
        <v>0.58456963483054292</v>
      </c>
      <c r="AM237" s="482">
        <f t="shared" ref="AM237" si="255">+AL237+AM236</f>
        <v>0.62852550024995735</v>
      </c>
      <c r="AN237" s="482">
        <f t="shared" ref="AN237" si="256">+AM237+AN236</f>
        <v>0.66323714079625018</v>
      </c>
      <c r="AO237" s="482">
        <f t="shared" ref="AO237" si="257">+AN237+AO236</f>
        <v>0.69747480713428034</v>
      </c>
      <c r="AP237" s="482">
        <f t="shared" ref="AP237" si="258">+AO237+AP236</f>
        <v>0.73123849926404783</v>
      </c>
      <c r="AQ237" s="482">
        <f t="shared" ref="AQ237" si="259">+AP237+AQ236</f>
        <v>0.76452821718555275</v>
      </c>
      <c r="AR237" s="482">
        <f t="shared" ref="AR237" si="260">+AQ237+AR236</f>
        <v>0.79975827197114924</v>
      </c>
      <c r="AS237" s="482">
        <f t="shared" ref="AS237" si="261">+AR237+AS236</f>
        <v>0.83328759577415623</v>
      </c>
      <c r="AT237" s="482">
        <f t="shared" ref="AT237" si="262">+AS237+AT236</f>
        <v>0.8565680936505855</v>
      </c>
      <c r="AU237" s="482">
        <f t="shared" ref="AU237" si="263">+AT237+AU236</f>
        <v>0.87862183475268796</v>
      </c>
      <c r="AV237" s="482">
        <f t="shared" ref="AV237" si="264">+AU237+AV236</f>
        <v>0.89944881908046359</v>
      </c>
      <c r="AW237" s="482">
        <f t="shared" ref="AW237" si="265">+AV237+AW236</f>
        <v>0.9190490466339124</v>
      </c>
      <c r="AX237" s="482">
        <f t="shared" ref="AX237" si="266">+AW237+AX236</f>
        <v>0.93983682848538863</v>
      </c>
      <c r="AY237" s="482">
        <f t="shared" ref="AY237" si="267">+AX237+AY236</f>
        <v>0.95864507099647389</v>
      </c>
      <c r="AZ237" s="482">
        <f t="shared" ref="AZ237" si="268">+AY237+AZ236</f>
        <v>0.96692567922317985</v>
      </c>
      <c r="BA237" s="482">
        <f t="shared" ref="BA237" si="269">+AZ237+BA236</f>
        <v>0.97445350488382165</v>
      </c>
      <c r="BB237" s="482">
        <f t="shared" ref="BB237" si="270">+BA237+BB236</f>
        <v>0.98122854797839931</v>
      </c>
      <c r="BC237" s="482">
        <f t="shared" ref="BC237" si="271">+BB237+BC236</f>
        <v>0.98725080850691271</v>
      </c>
      <c r="BD237" s="482">
        <f t="shared" ref="BD237" si="272">+BC237+BD236</f>
        <v>0.99400179553648838</v>
      </c>
      <c r="BE237" s="482">
        <f t="shared" ref="BE237" si="273">+BD237+BE236</f>
        <v>0.99999999999999989</v>
      </c>
      <c r="BF237" s="482">
        <f t="shared" ref="BF237" si="274">+BE237+BF236</f>
        <v>0.99999999999999989</v>
      </c>
      <c r="BG237" s="482"/>
      <c r="BH237" s="482"/>
      <c r="BI237" s="482"/>
      <c r="BJ237" s="482"/>
      <c r="BK237" s="482"/>
      <c r="BL237" s="482"/>
      <c r="BM237" s="482"/>
      <c r="BN237" s="482"/>
      <c r="BO237" s="482"/>
      <c r="BP237" s="482"/>
      <c r="BQ237" s="482"/>
    </row>
    <row r="238" spans="1:80" s="152" customFormat="1" ht="14" hidden="1" outlineLevel="1">
      <c r="A238" s="153"/>
      <c r="B238" s="266"/>
      <c r="BA238" s="16"/>
      <c r="BB238" s="16"/>
      <c r="BC238" s="16"/>
      <c r="BD238" s="16"/>
      <c r="BE238" s="16"/>
      <c r="BF238" s="16"/>
      <c r="BG238" s="16"/>
      <c r="BH238" s="16"/>
      <c r="BI238" s="16"/>
      <c r="BJ238" s="16"/>
      <c r="BK238" s="16"/>
      <c r="BL238" s="16"/>
      <c r="BM238" s="16"/>
      <c r="BN238" s="16"/>
    </row>
    <row r="239" spans="1:80" s="152" customFormat="1" ht="14" hidden="1" outlineLevel="1">
      <c r="A239" s="154" t="s">
        <v>144</v>
      </c>
      <c r="B239" s="609">
        <f>+'Resid - Datos'!O56</f>
        <v>0</v>
      </c>
      <c r="C239" s="610">
        <f>SUM(D239:BQ239)</f>
        <v>0.99999999999999978</v>
      </c>
      <c r="D239" s="154"/>
      <c r="E239" s="154"/>
      <c r="F239" s="154"/>
      <c r="G239" s="154"/>
      <c r="H239" s="154"/>
      <c r="I239" s="154"/>
      <c r="J239" s="154"/>
      <c r="K239" s="154"/>
      <c r="L239" s="154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483">
        <f>+(AD237-'Resid - Datos'!$O$61)/(1-'Resid - Datos'!$O$61)</f>
        <v>5.7745446073826853E-2</v>
      </c>
      <c r="AE239" s="15">
        <f>+(AE237-AD237)/(1-'Resid - Datos'!$O$61)</f>
        <v>4.1856104714957446E-2</v>
      </c>
      <c r="AF239" s="15">
        <f>+(AF237-AE237)/(1-'Resid - Datos'!$O$61)</f>
        <v>4.4922996650774497E-2</v>
      </c>
      <c r="AG239" s="15">
        <f>+(AG237-AF237)/(1-'Resid - Datos'!$O$61)</f>
        <v>4.6421591573957838E-2</v>
      </c>
      <c r="AH239" s="15">
        <f>+(AH237-AG237)/(1-'Resid - Datos'!$O$61)</f>
        <v>5.7659736845842718E-2</v>
      </c>
      <c r="AI239" s="15">
        <f>+(AI237-AH237)/(1-'Resid - Datos'!$O$61)</f>
        <v>5.7624885801117465E-2</v>
      </c>
      <c r="AJ239" s="15">
        <f>+(AJ237-AI237)/(1-'Resid - Datos'!$O$61)</f>
        <v>5.759003475639228E-2</v>
      </c>
      <c r="AK239" s="15">
        <f>+(AK237-AJ237)/(1-'Resid - Datos'!$O$61)</f>
        <v>5.6449321367637237E-2</v>
      </c>
      <c r="AL239" s="15">
        <f>+(AL237-AK237)/(1-'Resid - Datos'!$O$61)</f>
        <v>6.0441925753672299E-2</v>
      </c>
      <c r="AM239" s="15">
        <f>+(AM237-AL237)/(1-'Resid - Datos'!$O$61)</f>
        <v>5.4944831774268038E-2</v>
      </c>
      <c r="AN239" s="15">
        <f>+(AN237-AM237)/(1-'Resid - Datos'!$O$61)</f>
        <v>4.338955068286604E-2</v>
      </c>
      <c r="AO239" s="15">
        <f>+(AO237-AN237)/(1-'Resid - Datos'!$O$61)</f>
        <v>4.2797082922537699E-2</v>
      </c>
      <c r="AP239" s="15">
        <f>+(AP237-AO237)/(1-'Resid - Datos'!$O$61)</f>
        <v>4.2204615162209358E-2</v>
      </c>
      <c r="AQ239" s="15">
        <f>+(AQ237-AP237)/(1-'Resid - Datos'!$O$61)</f>
        <v>4.1612147401881155E-2</v>
      </c>
      <c r="AR239" s="15">
        <f>+(AR237-AQ237)/(1-'Resid - Datos'!$O$61)</f>
        <v>4.4037568481995609E-2</v>
      </c>
      <c r="AS239" s="15">
        <f>+(AS237-AR237)/(1-'Resid - Datos'!$O$61)</f>
        <v>4.1911654753758742E-2</v>
      </c>
      <c r="AT239" s="15">
        <f>+(AT237-AS237)/(1-'Resid - Datos'!$O$61)</f>
        <v>2.9100622345536592E-2</v>
      </c>
      <c r="AU239" s="15">
        <f>+(AU237-AT237)/(1-'Resid - Datos'!$O$61)</f>
        <v>2.7567176377628066E-2</v>
      </c>
      <c r="AV239" s="15">
        <f>+(AV237-AU237)/(1-'Resid - Datos'!$O$61)</f>
        <v>2.6033730409719541E-2</v>
      </c>
      <c r="AW239" s="15">
        <f>+(AW237-AV237)/(1-'Resid - Datos'!$O$61)</f>
        <v>2.4500284441811016E-2</v>
      </c>
      <c r="AX239" s="15">
        <f>+(AX237-AW237)/(1-'Resid - Datos'!$O$61)</f>
        <v>2.5984727314345285E-2</v>
      </c>
      <c r="AY239" s="15">
        <f>+(AY237-AX237)/(1-'Resid - Datos'!$O$61)</f>
        <v>2.3510303138856575E-2</v>
      </c>
      <c r="AZ239" s="15">
        <f>+(AZ237-AY237)/(1-'Resid - Datos'!$O$61)</f>
        <v>1.0350760283382443E-2</v>
      </c>
      <c r="BA239" s="15">
        <f>+(BA237-AZ237)/(1-'Resid - Datos'!$O$61)</f>
        <v>9.4097820758022588E-3</v>
      </c>
      <c r="BB239" s="15">
        <f>+(BB237-BA237)/(1-'Resid - Datos'!$O$61)</f>
        <v>8.4688038682220745E-3</v>
      </c>
      <c r="BC239" s="15">
        <f>+(BC237-BB237)/(1-'Resid - Datos'!$O$61)</f>
        <v>7.5278256606417515E-3</v>
      </c>
      <c r="BD239" s="15">
        <f>+(BD237-BC237)/(1-'Resid - Datos'!$O$61)</f>
        <v>8.4387337869695767E-3</v>
      </c>
      <c r="BE239" s="15">
        <f>+(BE237-BD237)/(1-'Resid - Datos'!$O$61)</f>
        <v>7.4977555793893924E-3</v>
      </c>
      <c r="BF239" s="15">
        <f>+(BF237-BE237)/(1-'Resid - Datos'!$O$61)</f>
        <v>0</v>
      </c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1"/>
    </row>
    <row r="240" spans="1:80" s="152" customFormat="1" ht="14" hidden="1" outlineLevel="1">
      <c r="A240" s="155"/>
      <c r="B240" s="680"/>
      <c r="C240" s="612">
        <f>SUM(D240:BQ240)</f>
        <v>0</v>
      </c>
      <c r="D240" s="155"/>
      <c r="E240" s="155"/>
      <c r="F240" s="155"/>
      <c r="G240" s="155"/>
      <c r="H240" s="155"/>
      <c r="I240" s="155"/>
      <c r="J240" s="155"/>
      <c r="K240" s="155"/>
      <c r="L240" s="155"/>
      <c r="M240" s="155"/>
      <c r="N240" s="155"/>
      <c r="O240" s="155"/>
      <c r="P240" s="155"/>
      <c r="Q240" s="155"/>
      <c r="R240" s="155"/>
      <c r="S240" s="155"/>
      <c r="T240" s="155"/>
      <c r="U240" s="155"/>
      <c r="V240" s="155"/>
      <c r="W240" s="155"/>
      <c r="X240" s="155"/>
      <c r="Y240" s="17"/>
      <c r="Z240" s="17"/>
      <c r="AA240" s="17"/>
      <c r="AB240" s="17"/>
      <c r="AC240" s="17"/>
      <c r="AD240" s="155">
        <f t="shared" ref="AD240:AE240" si="275">+AD239*$B$239</f>
        <v>0</v>
      </c>
      <c r="AE240" s="155">
        <f t="shared" si="275"/>
        <v>0</v>
      </c>
      <c r="AF240" s="155">
        <f>+AF239*$B$239</f>
        <v>0</v>
      </c>
      <c r="AG240" s="155">
        <f t="shared" ref="AG240:AS240" si="276">+AG239*$B$239</f>
        <v>0</v>
      </c>
      <c r="AH240" s="155">
        <f t="shared" si="276"/>
        <v>0</v>
      </c>
      <c r="AI240" s="155">
        <f t="shared" si="276"/>
        <v>0</v>
      </c>
      <c r="AJ240" s="155">
        <f t="shared" si="276"/>
        <v>0</v>
      </c>
      <c r="AK240" s="155">
        <f t="shared" si="276"/>
        <v>0</v>
      </c>
      <c r="AL240" s="155">
        <f t="shared" si="276"/>
        <v>0</v>
      </c>
      <c r="AM240" s="155">
        <f t="shared" si="276"/>
        <v>0</v>
      </c>
      <c r="AN240" s="155">
        <f t="shared" si="276"/>
        <v>0</v>
      </c>
      <c r="AO240" s="155">
        <f t="shared" si="276"/>
        <v>0</v>
      </c>
      <c r="AP240" s="155">
        <f t="shared" si="276"/>
        <v>0</v>
      </c>
      <c r="AQ240" s="155">
        <f t="shared" si="276"/>
        <v>0</v>
      </c>
      <c r="AR240" s="155">
        <f t="shared" si="276"/>
        <v>0</v>
      </c>
      <c r="AS240" s="155">
        <f t="shared" si="276"/>
        <v>0</v>
      </c>
      <c r="AT240" s="155"/>
      <c r="AU240" s="155"/>
      <c r="AV240" s="155"/>
      <c r="AW240" s="155"/>
      <c r="AX240" s="155"/>
      <c r="AY240" s="155"/>
      <c r="AZ240" s="155"/>
      <c r="BA240" s="155"/>
      <c r="BB240" s="155"/>
      <c r="BC240" s="155"/>
      <c r="BD240" s="155"/>
      <c r="BE240" s="155"/>
      <c r="BF240" s="155"/>
      <c r="BG240" s="155"/>
      <c r="BH240" s="155"/>
      <c r="BI240" s="155"/>
      <c r="BJ240" s="155"/>
      <c r="BK240" s="155"/>
      <c r="BL240" s="155"/>
      <c r="BM240" s="155"/>
      <c r="BN240" s="155"/>
      <c r="BO240" s="155"/>
      <c r="BP240" s="155"/>
      <c r="BQ240" s="155"/>
    </row>
    <row r="241" spans="1:16270" s="169" customFormat="1" ht="14" hidden="1" outlineLevel="1">
      <c r="A241" s="169" t="s">
        <v>145</v>
      </c>
      <c r="B241" s="256"/>
      <c r="C241" s="137"/>
      <c r="Y241" s="169">
        <f t="shared" ref="Y241" si="277">+Y240+X241</f>
        <v>0</v>
      </c>
      <c r="Z241" s="169">
        <f t="shared" ref="Z241" si="278">+Z240+Y241</f>
        <v>0</v>
      </c>
      <c r="AA241" s="169">
        <f t="shared" ref="AA241" si="279">+AA240+Z241</f>
        <v>0</v>
      </c>
      <c r="AB241" s="169">
        <f t="shared" ref="AB241" si="280">+AB240+AA241</f>
        <v>0</v>
      </c>
      <c r="AC241" s="169">
        <f t="shared" ref="AC241" si="281">+AC240+AB241</f>
        <v>0</v>
      </c>
      <c r="AD241" s="169">
        <f t="shared" ref="AD241" si="282">+AD240+AC241</f>
        <v>0</v>
      </c>
      <c r="AE241" s="169">
        <f t="shared" ref="AE241" si="283">+AE240+AD241</f>
        <v>0</v>
      </c>
      <c r="AF241" s="169">
        <f t="shared" ref="AF241:AZ241" si="284">+AF240+AE241</f>
        <v>0</v>
      </c>
      <c r="AG241" s="169">
        <f t="shared" si="284"/>
        <v>0</v>
      </c>
      <c r="AH241" s="169">
        <f t="shared" si="284"/>
        <v>0</v>
      </c>
      <c r="AI241" s="169">
        <f t="shared" si="284"/>
        <v>0</v>
      </c>
      <c r="AJ241" s="169">
        <f t="shared" si="284"/>
        <v>0</v>
      </c>
      <c r="AK241" s="169">
        <f t="shared" si="284"/>
        <v>0</v>
      </c>
      <c r="AL241" s="169">
        <f t="shared" si="284"/>
        <v>0</v>
      </c>
      <c r="AM241" s="169">
        <f t="shared" si="284"/>
        <v>0</v>
      </c>
      <c r="AN241" s="169">
        <f t="shared" si="284"/>
        <v>0</v>
      </c>
      <c r="AO241" s="169">
        <f t="shared" si="284"/>
        <v>0</v>
      </c>
      <c r="AP241" s="169">
        <f t="shared" si="284"/>
        <v>0</v>
      </c>
      <c r="AQ241" s="169">
        <f t="shared" si="284"/>
        <v>0</v>
      </c>
      <c r="AR241" s="169">
        <f t="shared" si="284"/>
        <v>0</v>
      </c>
      <c r="AS241" s="169">
        <f t="shared" si="284"/>
        <v>0</v>
      </c>
      <c r="AT241" s="169">
        <f t="shared" si="284"/>
        <v>0</v>
      </c>
      <c r="AU241" s="169">
        <f t="shared" si="284"/>
        <v>0</v>
      </c>
      <c r="AV241" s="169">
        <f t="shared" si="284"/>
        <v>0</v>
      </c>
      <c r="AW241" s="169">
        <f t="shared" si="284"/>
        <v>0</v>
      </c>
      <c r="AX241" s="169">
        <f t="shared" si="284"/>
        <v>0</v>
      </c>
      <c r="AY241" s="169">
        <f t="shared" si="284"/>
        <v>0</v>
      </c>
      <c r="AZ241" s="169">
        <f t="shared" si="284"/>
        <v>0</v>
      </c>
      <c r="BA241" s="169">
        <f t="shared" ref="BA241" si="285">+BA240+AZ241</f>
        <v>0</v>
      </c>
      <c r="BB241" s="169">
        <f t="shared" ref="BB241" si="286">+BB240+BA241</f>
        <v>0</v>
      </c>
      <c r="BC241" s="169">
        <f t="shared" ref="BC241" si="287">+BC240+BB241</f>
        <v>0</v>
      </c>
      <c r="BD241" s="169">
        <f t="shared" ref="BD241" si="288">+BD240+BC241</f>
        <v>0</v>
      </c>
      <c r="BE241" s="169">
        <f t="shared" ref="BE241" si="289">+BE240+BD241</f>
        <v>0</v>
      </c>
      <c r="BF241" s="169">
        <f t="shared" ref="BF241" si="290">+BF240+BE241</f>
        <v>0</v>
      </c>
      <c r="BG241" s="169">
        <f t="shared" ref="BG241" si="291">+BG240+BF241</f>
        <v>0</v>
      </c>
      <c r="BH241" s="169">
        <f t="shared" ref="BH241" si="292">+BH240+BG241</f>
        <v>0</v>
      </c>
      <c r="BI241" s="169">
        <f t="shared" ref="BI241" si="293">+BI240+BH241</f>
        <v>0</v>
      </c>
      <c r="BJ241" s="169">
        <f t="shared" ref="BJ241" si="294">+BJ240+BI241</f>
        <v>0</v>
      </c>
      <c r="BK241" s="169">
        <f t="shared" ref="BK241" si="295">+BK240+BJ241</f>
        <v>0</v>
      </c>
      <c r="BL241" s="169">
        <f t="shared" ref="BL241" si="296">+BL240+BK241</f>
        <v>0</v>
      </c>
      <c r="BM241" s="169">
        <f t="shared" ref="BM241" si="297">+BM240+BL241</f>
        <v>0</v>
      </c>
      <c r="BN241" s="169">
        <f t="shared" ref="BN241" si="298">+BN240+BM241</f>
        <v>0</v>
      </c>
      <c r="BO241" s="169">
        <f t="shared" ref="BO241" si="299">+BO240+BN241</f>
        <v>0</v>
      </c>
      <c r="BP241" s="169">
        <f t="shared" ref="BP241" si="300">+BP240+BO241</f>
        <v>0</v>
      </c>
      <c r="BQ241" s="169">
        <f t="shared" ref="BQ241" si="301">+BQ240+BP241</f>
        <v>0</v>
      </c>
    </row>
    <row r="242" spans="1:16270" s="267" customFormat="1" ht="14" hidden="1" outlineLevel="1">
      <c r="C242" s="169">
        <f>SUM(D242:BQ242)</f>
        <v>0</v>
      </c>
      <c r="D242" s="169">
        <f>+IF(D240&gt;0,1,0)</f>
        <v>0</v>
      </c>
      <c r="E242" s="169">
        <f t="shared" ref="E242:BP242" si="302">+IF(E240&gt;0,1,0)</f>
        <v>0</v>
      </c>
      <c r="F242" s="169">
        <f t="shared" si="302"/>
        <v>0</v>
      </c>
      <c r="G242" s="169">
        <f t="shared" si="302"/>
        <v>0</v>
      </c>
      <c r="H242" s="169">
        <f t="shared" si="302"/>
        <v>0</v>
      </c>
      <c r="I242" s="169">
        <f t="shared" si="302"/>
        <v>0</v>
      </c>
      <c r="J242" s="169">
        <f t="shared" si="302"/>
        <v>0</v>
      </c>
      <c r="K242" s="169">
        <f t="shared" si="302"/>
        <v>0</v>
      </c>
      <c r="L242" s="169">
        <f t="shared" si="302"/>
        <v>0</v>
      </c>
      <c r="M242" s="169">
        <f t="shared" si="302"/>
        <v>0</v>
      </c>
      <c r="N242" s="169">
        <f t="shared" si="302"/>
        <v>0</v>
      </c>
      <c r="O242" s="169">
        <f t="shared" si="302"/>
        <v>0</v>
      </c>
      <c r="P242" s="169">
        <f t="shared" si="302"/>
        <v>0</v>
      </c>
      <c r="Q242" s="169">
        <f t="shared" si="302"/>
        <v>0</v>
      </c>
      <c r="R242" s="169">
        <f t="shared" si="302"/>
        <v>0</v>
      </c>
      <c r="S242" s="169">
        <f t="shared" si="302"/>
        <v>0</v>
      </c>
      <c r="T242" s="169">
        <f t="shared" si="302"/>
        <v>0</v>
      </c>
      <c r="U242" s="169">
        <f t="shared" si="302"/>
        <v>0</v>
      </c>
      <c r="V242" s="169">
        <f t="shared" si="302"/>
        <v>0</v>
      </c>
      <c r="W242" s="169">
        <f t="shared" si="302"/>
        <v>0</v>
      </c>
      <c r="X242" s="169">
        <f t="shared" si="302"/>
        <v>0</v>
      </c>
      <c r="Y242" s="169">
        <f t="shared" si="302"/>
        <v>0</v>
      </c>
      <c r="Z242" s="169">
        <f t="shared" si="302"/>
        <v>0</v>
      </c>
      <c r="AA242" s="169">
        <f t="shared" si="302"/>
        <v>0</v>
      </c>
      <c r="AB242" s="169">
        <f t="shared" si="302"/>
        <v>0</v>
      </c>
      <c r="AC242" s="169">
        <f t="shared" si="302"/>
        <v>0</v>
      </c>
      <c r="AD242" s="169">
        <f t="shared" si="302"/>
        <v>0</v>
      </c>
      <c r="AE242" s="169">
        <f t="shared" si="302"/>
        <v>0</v>
      </c>
      <c r="AF242" s="169">
        <f t="shared" si="302"/>
        <v>0</v>
      </c>
      <c r="AG242" s="169">
        <f t="shared" si="302"/>
        <v>0</v>
      </c>
      <c r="AH242" s="169">
        <f t="shared" si="302"/>
        <v>0</v>
      </c>
      <c r="AI242" s="169">
        <f t="shared" si="302"/>
        <v>0</v>
      </c>
      <c r="AJ242" s="169">
        <f t="shared" si="302"/>
        <v>0</v>
      </c>
      <c r="AK242" s="169">
        <f t="shared" si="302"/>
        <v>0</v>
      </c>
      <c r="AL242" s="169">
        <f t="shared" si="302"/>
        <v>0</v>
      </c>
      <c r="AM242" s="169">
        <f t="shared" si="302"/>
        <v>0</v>
      </c>
      <c r="AN242" s="169">
        <f t="shared" si="302"/>
        <v>0</v>
      </c>
      <c r="AO242" s="169">
        <f t="shared" si="302"/>
        <v>0</v>
      </c>
      <c r="AP242" s="169">
        <f t="shared" si="302"/>
        <v>0</v>
      </c>
      <c r="AQ242" s="169">
        <f t="shared" si="302"/>
        <v>0</v>
      </c>
      <c r="AR242" s="169">
        <f t="shared" si="302"/>
        <v>0</v>
      </c>
      <c r="AS242" s="169">
        <f t="shared" si="302"/>
        <v>0</v>
      </c>
      <c r="AT242" s="169">
        <f t="shared" si="302"/>
        <v>0</v>
      </c>
      <c r="AU242" s="169">
        <f t="shared" si="302"/>
        <v>0</v>
      </c>
      <c r="AV242" s="169">
        <f t="shared" si="302"/>
        <v>0</v>
      </c>
      <c r="AW242" s="169">
        <f t="shared" si="302"/>
        <v>0</v>
      </c>
      <c r="AX242" s="169">
        <f t="shared" si="302"/>
        <v>0</v>
      </c>
      <c r="AY242" s="169">
        <f t="shared" si="302"/>
        <v>0</v>
      </c>
      <c r="AZ242" s="169">
        <f t="shared" si="302"/>
        <v>0</v>
      </c>
      <c r="BA242" s="169">
        <f t="shared" si="302"/>
        <v>0</v>
      </c>
      <c r="BB242" s="169">
        <f t="shared" si="302"/>
        <v>0</v>
      </c>
      <c r="BC242" s="169">
        <f t="shared" si="302"/>
        <v>0</v>
      </c>
      <c r="BD242" s="169">
        <f t="shared" si="302"/>
        <v>0</v>
      </c>
      <c r="BE242" s="169">
        <f t="shared" si="302"/>
        <v>0</v>
      </c>
      <c r="BF242" s="169">
        <f t="shared" si="302"/>
        <v>0</v>
      </c>
      <c r="BG242" s="169">
        <f t="shared" si="302"/>
        <v>0</v>
      </c>
      <c r="BH242" s="169">
        <f t="shared" si="302"/>
        <v>0</v>
      </c>
      <c r="BI242" s="169">
        <f t="shared" si="302"/>
        <v>0</v>
      </c>
      <c r="BJ242" s="169">
        <f t="shared" si="302"/>
        <v>0</v>
      </c>
      <c r="BK242" s="169">
        <f t="shared" si="302"/>
        <v>0</v>
      </c>
      <c r="BL242" s="169">
        <f t="shared" si="302"/>
        <v>0</v>
      </c>
      <c r="BM242" s="169">
        <f t="shared" si="302"/>
        <v>0</v>
      </c>
      <c r="BN242" s="169">
        <f t="shared" si="302"/>
        <v>0</v>
      </c>
      <c r="BO242" s="169">
        <f t="shared" si="302"/>
        <v>0</v>
      </c>
      <c r="BP242" s="169">
        <f t="shared" si="302"/>
        <v>0</v>
      </c>
      <c r="BQ242" s="169">
        <f t="shared" ref="BQ242" si="303">+IF(BQ240&gt;0,1,0)</f>
        <v>0</v>
      </c>
      <c r="BR242" s="169"/>
      <c r="BS242" s="169"/>
      <c r="BT242" s="169"/>
      <c r="BU242" s="169"/>
      <c r="BV242" s="169"/>
      <c r="BW242" s="169"/>
      <c r="BX242" s="169"/>
      <c r="BY242" s="169"/>
      <c r="BZ242" s="169"/>
      <c r="CA242" s="169"/>
      <c r="CB242" s="169"/>
    </row>
    <row r="243" spans="1:16270" s="254" customFormat="1" ht="14" hidden="1" outlineLevel="1">
      <c r="A243" s="255" t="str">
        <f>+'Resid - Datos'!I59</f>
        <v>Gastos Evaluación y Otorgamiento</v>
      </c>
      <c r="B243" s="681"/>
      <c r="C243" s="679">
        <f>SUM(D243:BQ243)</f>
        <v>0</v>
      </c>
      <c r="D243" s="253"/>
      <c r="E243" s="253"/>
      <c r="F243" s="253"/>
      <c r="G243" s="253"/>
      <c r="H243" s="253"/>
      <c r="I243" s="253">
        <f>-'Resid - Datos'!O59/2</f>
        <v>0</v>
      </c>
      <c r="J243" s="253"/>
      <c r="K243" s="253"/>
      <c r="L243" s="253"/>
      <c r="M243" s="253"/>
      <c r="N243" s="253"/>
      <c r="O243" s="253">
        <f>+I243</f>
        <v>0</v>
      </c>
      <c r="P243" s="253"/>
      <c r="Q243" s="253"/>
      <c r="R243" s="253"/>
      <c r="S243" s="253"/>
      <c r="T243" s="253"/>
      <c r="U243" s="253"/>
      <c r="V243" s="253"/>
      <c r="W243" s="253"/>
      <c r="X243" s="253"/>
      <c r="Y243" s="253"/>
      <c r="Z243" s="253"/>
      <c r="AA243" s="253"/>
      <c r="AB243" s="253"/>
      <c r="AC243" s="253"/>
      <c r="AD243" s="253"/>
      <c r="AE243" s="253"/>
      <c r="AF243" s="253"/>
      <c r="AG243" s="253"/>
      <c r="AH243" s="253"/>
      <c r="AI243" s="253"/>
      <c r="AJ243" s="253"/>
      <c r="AK243" s="253"/>
      <c r="AL243" s="253"/>
      <c r="AM243" s="253"/>
      <c r="AN243" s="253"/>
      <c r="AO243" s="253"/>
      <c r="AP243" s="253"/>
      <c r="AQ243" s="253"/>
      <c r="AR243" s="253"/>
      <c r="AS243" s="253"/>
      <c r="AT243" s="253"/>
      <c r="AU243" s="253"/>
      <c r="AV243" s="253"/>
      <c r="AW243" s="253"/>
      <c r="AX243" s="253"/>
      <c r="AY243" s="253"/>
      <c r="AZ243" s="253"/>
      <c r="BA243" s="253"/>
      <c r="BB243" s="253"/>
      <c r="BC243" s="253"/>
      <c r="BD243" s="253"/>
      <c r="BE243" s="253"/>
      <c r="BF243" s="253"/>
      <c r="BG243" s="253"/>
      <c r="BH243" s="253"/>
      <c r="BI243" s="253"/>
      <c r="BJ243" s="253"/>
      <c r="BK243" s="253"/>
      <c r="BL243" s="253"/>
      <c r="BM243" s="253"/>
      <c r="BN243" s="253"/>
      <c r="BO243" s="253"/>
      <c r="BP243" s="253"/>
      <c r="BQ243" s="253"/>
      <c r="BR243" s="152"/>
      <c r="BS243" s="152"/>
      <c r="BT243" s="152"/>
      <c r="BU243" s="152"/>
      <c r="BV243" s="152"/>
      <c r="BW243" s="152"/>
      <c r="BX243" s="152"/>
      <c r="BY243" s="152"/>
      <c r="BZ243" s="152"/>
      <c r="CA243" s="152"/>
      <c r="CB243" s="152"/>
    </row>
    <row r="244" spans="1:16270" s="254" customFormat="1" ht="14" hidden="1" outlineLevel="1">
      <c r="B244" s="268"/>
      <c r="C244" s="152"/>
      <c r="D244" s="152"/>
      <c r="E244" s="152"/>
      <c r="F244" s="152"/>
      <c r="G244" s="152"/>
      <c r="H244" s="152"/>
      <c r="I244" s="152"/>
      <c r="J244" s="152"/>
      <c r="K244" s="152"/>
      <c r="L244" s="152"/>
      <c r="M244" s="152"/>
      <c r="N244" s="152"/>
      <c r="O244" s="152"/>
      <c r="P244" s="152"/>
      <c r="Q244" s="152"/>
      <c r="R244" s="152"/>
      <c r="S244" s="152"/>
      <c r="T244" s="152"/>
      <c r="U244" s="152"/>
      <c r="V244" s="152"/>
      <c r="W244" s="152"/>
      <c r="X244" s="152"/>
      <c r="Y244" s="152"/>
      <c r="Z244" s="152"/>
      <c r="AA244" s="152"/>
      <c r="AB244" s="152"/>
      <c r="AC244" s="152"/>
      <c r="AD244" s="152"/>
      <c r="AE244" s="152"/>
      <c r="AF244" s="152"/>
      <c r="AG244" s="152"/>
      <c r="AH244" s="152"/>
      <c r="AI244" s="152"/>
      <c r="AJ244" s="152"/>
      <c r="AK244" s="152"/>
      <c r="AL244" s="152"/>
      <c r="AM244" s="152"/>
      <c r="AN244" s="152"/>
      <c r="AO244" s="152"/>
      <c r="AP244" s="152"/>
      <c r="AQ244" s="152"/>
      <c r="AR244" s="152"/>
      <c r="AS244" s="152"/>
      <c r="AT244" s="152"/>
      <c r="AU244" s="152"/>
      <c r="AV244" s="152"/>
      <c r="AW244" s="152"/>
      <c r="AX244" s="152"/>
      <c r="AY244" s="152"/>
      <c r="AZ244" s="152"/>
      <c r="BA244" s="16"/>
      <c r="BB244" s="16"/>
      <c r="BC244" s="16"/>
      <c r="BD244" s="16"/>
      <c r="BE244" s="16"/>
      <c r="BF244" s="16"/>
      <c r="BG244" s="16"/>
      <c r="BH244" s="16"/>
      <c r="BI244" s="16"/>
      <c r="BJ244" s="16"/>
      <c r="BK244" s="16"/>
      <c r="BL244" s="16"/>
      <c r="BM244" s="16"/>
      <c r="BN244" s="16"/>
      <c r="BO244" s="152"/>
      <c r="BP244" s="152"/>
      <c r="BQ244" s="152"/>
      <c r="BR244" s="152"/>
      <c r="BS244" s="152"/>
      <c r="BT244" s="152"/>
      <c r="BU244" s="152"/>
      <c r="BV244" s="152"/>
      <c r="BW244" s="152"/>
      <c r="BX244" s="152"/>
      <c r="BY244" s="152"/>
      <c r="BZ244" s="152"/>
      <c r="CA244" s="152"/>
      <c r="CB244" s="152"/>
    </row>
    <row r="245" spans="1:16270" s="254" customFormat="1" ht="14" hidden="1" outlineLevel="1">
      <c r="A245" s="254" t="s">
        <v>146</v>
      </c>
      <c r="B245" s="268"/>
      <c r="C245" s="152"/>
      <c r="D245" s="152"/>
      <c r="E245" s="152"/>
      <c r="F245" s="152"/>
      <c r="G245" s="152"/>
      <c r="H245" s="152"/>
      <c r="I245" s="152"/>
      <c r="J245" s="152"/>
      <c r="K245" s="152"/>
      <c r="L245" s="152"/>
      <c r="M245" s="152"/>
      <c r="N245" s="152"/>
      <c r="O245" s="152"/>
      <c r="P245" s="152"/>
      <c r="Q245" s="152"/>
      <c r="R245" s="152"/>
      <c r="S245" s="152"/>
      <c r="T245" s="152"/>
      <c r="U245" s="152"/>
      <c r="V245" s="152"/>
      <c r="W245" s="152"/>
      <c r="X245" s="152"/>
      <c r="Y245" s="152"/>
      <c r="Z245" s="152"/>
      <c r="AA245" s="152"/>
      <c r="AB245" s="152"/>
      <c r="AC245" s="152"/>
      <c r="AD245" s="152"/>
      <c r="AE245" s="152"/>
      <c r="AF245" s="152"/>
      <c r="AG245" s="152"/>
      <c r="AH245" s="152"/>
      <c r="AI245" s="152"/>
      <c r="AJ245" s="152"/>
      <c r="AK245" s="152"/>
      <c r="AL245" s="152"/>
      <c r="AM245" s="152"/>
      <c r="AN245" s="152"/>
      <c r="AO245" s="152"/>
      <c r="AP245" s="152"/>
      <c r="AQ245" s="152"/>
      <c r="AR245" s="152"/>
      <c r="AS245" s="152"/>
      <c r="AT245" s="152"/>
      <c r="AU245" s="152"/>
      <c r="AV245" s="152"/>
      <c r="AW245" s="152"/>
      <c r="AX245" s="152"/>
      <c r="AY245" s="152"/>
      <c r="AZ245" s="152"/>
      <c r="BA245" s="16"/>
      <c r="BB245" s="16"/>
      <c r="BC245" s="16"/>
      <c r="BD245" s="16"/>
      <c r="BE245" s="16"/>
      <c r="BF245" s="16"/>
      <c r="BG245" s="16"/>
      <c r="BH245" s="16"/>
      <c r="BI245" s="16"/>
      <c r="BJ245" s="16"/>
      <c r="BK245" s="16"/>
      <c r="BL245" s="16"/>
      <c r="BM245" s="16"/>
      <c r="BN245" s="16"/>
      <c r="BO245" s="152"/>
      <c r="BP245" s="152"/>
      <c r="BQ245" s="152"/>
      <c r="BR245" s="152"/>
      <c r="BS245" s="152"/>
      <c r="BT245" s="152"/>
      <c r="BU245" s="152"/>
      <c r="BV245" s="152"/>
      <c r="BW245" s="152"/>
      <c r="BX245" s="152"/>
      <c r="BY245" s="152"/>
      <c r="BZ245" s="152"/>
      <c r="CA245" s="152"/>
      <c r="CB245" s="152"/>
    </row>
    <row r="246" spans="1:16270" s="259" customFormat="1" ht="14" hidden="1" outlineLevel="1">
      <c r="A246" s="258" t="s">
        <v>147</v>
      </c>
      <c r="B246" s="682">
        <f>+'Resid - Datos'!O62*'Resid - Datos'!O56</f>
        <v>0</v>
      </c>
      <c r="C246" s="667">
        <f>SUM(D246:BQ246)</f>
        <v>0</v>
      </c>
      <c r="D246" s="484"/>
      <c r="E246" s="484">
        <f>IF(E242=1,-$B$246/$C$242,0)</f>
        <v>0</v>
      </c>
      <c r="F246" s="484">
        <f t="shared" ref="F246:BQ246" si="304">IF(F242=1,-$B$246/$C$242,0)</f>
        <v>0</v>
      </c>
      <c r="G246" s="484">
        <f t="shared" si="304"/>
        <v>0</v>
      </c>
      <c r="H246" s="484">
        <f t="shared" si="304"/>
        <v>0</v>
      </c>
      <c r="I246" s="484">
        <f t="shared" si="304"/>
        <v>0</v>
      </c>
      <c r="J246" s="484">
        <f t="shared" si="304"/>
        <v>0</v>
      </c>
      <c r="K246" s="484">
        <f t="shared" si="304"/>
        <v>0</v>
      </c>
      <c r="L246" s="484">
        <f t="shared" si="304"/>
        <v>0</v>
      </c>
      <c r="M246" s="484">
        <f t="shared" si="304"/>
        <v>0</v>
      </c>
      <c r="N246" s="484">
        <f t="shared" si="304"/>
        <v>0</v>
      </c>
      <c r="O246" s="484">
        <f t="shared" si="304"/>
        <v>0</v>
      </c>
      <c r="P246" s="484">
        <f t="shared" si="304"/>
        <v>0</v>
      </c>
      <c r="Q246" s="484">
        <f t="shared" si="304"/>
        <v>0</v>
      </c>
      <c r="R246" s="484">
        <f t="shared" si="304"/>
        <v>0</v>
      </c>
      <c r="S246" s="484">
        <f t="shared" si="304"/>
        <v>0</v>
      </c>
      <c r="T246" s="484">
        <f t="shared" si="304"/>
        <v>0</v>
      </c>
      <c r="U246" s="484">
        <f t="shared" si="304"/>
        <v>0</v>
      </c>
      <c r="V246" s="484">
        <f t="shared" si="304"/>
        <v>0</v>
      </c>
      <c r="W246" s="484">
        <f t="shared" si="304"/>
        <v>0</v>
      </c>
      <c r="X246" s="484">
        <f t="shared" si="304"/>
        <v>0</v>
      </c>
      <c r="Y246" s="484">
        <f t="shared" si="304"/>
        <v>0</v>
      </c>
      <c r="Z246" s="484">
        <f t="shared" si="304"/>
        <v>0</v>
      </c>
      <c r="AA246" s="484">
        <f t="shared" si="304"/>
        <v>0</v>
      </c>
      <c r="AB246" s="484">
        <f t="shared" si="304"/>
        <v>0</v>
      </c>
      <c r="AC246" s="484">
        <f t="shared" si="304"/>
        <v>0</v>
      </c>
      <c r="AD246" s="484">
        <f t="shared" si="304"/>
        <v>0</v>
      </c>
      <c r="AE246" s="484">
        <f t="shared" si="304"/>
        <v>0</v>
      </c>
      <c r="AF246" s="484">
        <f t="shared" si="304"/>
        <v>0</v>
      </c>
      <c r="AG246" s="484">
        <f t="shared" si="304"/>
        <v>0</v>
      </c>
      <c r="AH246" s="484">
        <f t="shared" si="304"/>
        <v>0</v>
      </c>
      <c r="AI246" s="484">
        <f t="shared" si="304"/>
        <v>0</v>
      </c>
      <c r="AJ246" s="484">
        <f t="shared" si="304"/>
        <v>0</v>
      </c>
      <c r="AK246" s="484">
        <f t="shared" si="304"/>
        <v>0</v>
      </c>
      <c r="AL246" s="484">
        <f t="shared" si="304"/>
        <v>0</v>
      </c>
      <c r="AM246" s="484">
        <f t="shared" si="304"/>
        <v>0</v>
      </c>
      <c r="AN246" s="484">
        <f t="shared" si="304"/>
        <v>0</v>
      </c>
      <c r="AO246" s="484">
        <f t="shared" si="304"/>
        <v>0</v>
      </c>
      <c r="AP246" s="484">
        <f t="shared" si="304"/>
        <v>0</v>
      </c>
      <c r="AQ246" s="484">
        <f t="shared" si="304"/>
        <v>0</v>
      </c>
      <c r="AR246" s="484">
        <f t="shared" si="304"/>
        <v>0</v>
      </c>
      <c r="AS246" s="484">
        <f t="shared" si="304"/>
        <v>0</v>
      </c>
      <c r="AT246" s="484">
        <f t="shared" si="304"/>
        <v>0</v>
      </c>
      <c r="AU246" s="484">
        <f t="shared" si="304"/>
        <v>0</v>
      </c>
      <c r="AV246" s="484">
        <f t="shared" si="304"/>
        <v>0</v>
      </c>
      <c r="AW246" s="484">
        <f t="shared" si="304"/>
        <v>0</v>
      </c>
      <c r="AX246" s="484">
        <f t="shared" si="304"/>
        <v>0</v>
      </c>
      <c r="AY246" s="484">
        <f t="shared" si="304"/>
        <v>0</v>
      </c>
      <c r="AZ246" s="484">
        <f t="shared" si="304"/>
        <v>0</v>
      </c>
      <c r="BA246" s="484">
        <f t="shared" si="304"/>
        <v>0</v>
      </c>
      <c r="BB246" s="484">
        <f t="shared" si="304"/>
        <v>0</v>
      </c>
      <c r="BC246" s="484">
        <f t="shared" si="304"/>
        <v>0</v>
      </c>
      <c r="BD246" s="484">
        <f t="shared" si="304"/>
        <v>0</v>
      </c>
      <c r="BE246" s="484">
        <f t="shared" si="304"/>
        <v>0</v>
      </c>
      <c r="BF246" s="484">
        <f t="shared" si="304"/>
        <v>0</v>
      </c>
      <c r="BG246" s="484">
        <f t="shared" si="304"/>
        <v>0</v>
      </c>
      <c r="BH246" s="484">
        <f t="shared" si="304"/>
        <v>0</v>
      </c>
      <c r="BI246" s="484">
        <f t="shared" si="304"/>
        <v>0</v>
      </c>
      <c r="BJ246" s="484">
        <f t="shared" si="304"/>
        <v>0</v>
      </c>
      <c r="BK246" s="484">
        <f t="shared" si="304"/>
        <v>0</v>
      </c>
      <c r="BL246" s="484">
        <f t="shared" si="304"/>
        <v>0</v>
      </c>
      <c r="BM246" s="484">
        <f t="shared" si="304"/>
        <v>0</v>
      </c>
      <c r="BN246" s="484">
        <f t="shared" si="304"/>
        <v>0</v>
      </c>
      <c r="BO246" s="484">
        <f t="shared" si="304"/>
        <v>0</v>
      </c>
      <c r="BP246" s="484">
        <f t="shared" si="304"/>
        <v>0</v>
      </c>
      <c r="BQ246" s="484">
        <f t="shared" si="304"/>
        <v>0</v>
      </c>
      <c r="BR246" s="485"/>
      <c r="BS246" s="485"/>
      <c r="BT246" s="485"/>
      <c r="BU246" s="485"/>
      <c r="BV246" s="485"/>
      <c r="BW246" s="485"/>
      <c r="BX246" s="485"/>
      <c r="BY246" s="485"/>
      <c r="BZ246" s="485"/>
      <c r="CA246" s="485"/>
      <c r="CB246" s="485"/>
    </row>
    <row r="247" spans="1:16270" s="259" customFormat="1" ht="14" hidden="1" outlineLevel="1">
      <c r="A247" s="260" t="s">
        <v>148</v>
      </c>
      <c r="B247" s="611">
        <f>+B239-B246</f>
        <v>0</v>
      </c>
      <c r="C247" s="683">
        <f>SUM(D247:BQ247)</f>
        <v>0</v>
      </c>
      <c r="D247" s="486"/>
      <c r="E247" s="486"/>
      <c r="F247" s="486"/>
      <c r="G247" s="486"/>
      <c r="H247" s="486"/>
      <c r="I247" s="486"/>
      <c r="J247" s="486"/>
      <c r="K247" s="486"/>
      <c r="L247" s="486"/>
      <c r="M247" s="486"/>
      <c r="N247" s="486"/>
      <c r="O247" s="486"/>
      <c r="P247" s="486"/>
      <c r="Q247" s="486"/>
      <c r="R247" s="486"/>
      <c r="S247" s="486"/>
      <c r="T247" s="486"/>
      <c r="U247" s="486"/>
      <c r="V247" s="486"/>
      <c r="W247" s="486"/>
      <c r="X247" s="486"/>
      <c r="Y247" s="486"/>
      <c r="Z247" s="486"/>
      <c r="AA247" s="486"/>
      <c r="AB247" s="486"/>
      <c r="AC247" s="486"/>
      <c r="AD247" s="486"/>
      <c r="AE247" s="486"/>
      <c r="AF247" s="486"/>
      <c r="AG247" s="486"/>
      <c r="AH247" s="486"/>
      <c r="AI247" s="486"/>
      <c r="AJ247" s="486"/>
      <c r="AK247" s="486"/>
      <c r="AL247" s="486"/>
      <c r="AM247" s="486"/>
      <c r="AN247" s="487">
        <f>IF('Resid - Datos'!$N$56=0,0,-(AN233+AN240+AN246))</f>
        <v>0</v>
      </c>
      <c r="AO247" s="487">
        <f>IF('Resid - Datos'!$N$56=0,0,-(AO233+AO240+AO246))</f>
        <v>0</v>
      </c>
      <c r="AP247" s="487">
        <f>IF('Resid - Datos'!$N$56=0,0,-(AO248+AP240+AP246))</f>
        <v>0</v>
      </c>
      <c r="AQ247" s="486"/>
      <c r="AR247" s="486"/>
      <c r="AS247" s="486"/>
      <c r="AT247" s="487">
        <f>IF('Resid - Datos'!$N$56=0,0,-(AS248+AT240+AT246))</f>
        <v>0</v>
      </c>
      <c r="AU247" s="486"/>
      <c r="AV247" s="486"/>
      <c r="AW247" s="486"/>
      <c r="AX247" s="486"/>
      <c r="AY247" s="486"/>
      <c r="AZ247" s="486"/>
      <c r="BA247" s="486"/>
      <c r="BB247" s="486"/>
      <c r="BC247" s="486"/>
      <c r="BD247" s="486"/>
      <c r="BE247" s="486"/>
      <c r="BF247" s="486"/>
      <c r="BG247" s="486"/>
      <c r="BH247" s="486"/>
      <c r="BI247" s="486"/>
      <c r="BJ247" s="486"/>
      <c r="BK247" s="486"/>
      <c r="BL247" s="486"/>
      <c r="BM247" s="486"/>
      <c r="BN247" s="135"/>
      <c r="BO247" s="485"/>
      <c r="BP247" s="485"/>
      <c r="BQ247" s="485"/>
      <c r="BR247" s="485"/>
      <c r="BS247" s="485"/>
      <c r="BT247" s="485"/>
      <c r="BU247" s="485"/>
      <c r="BV247" s="485"/>
      <c r="BW247" s="485"/>
      <c r="BX247" s="485"/>
      <c r="BY247" s="485"/>
      <c r="BZ247" s="485"/>
      <c r="CA247" s="485"/>
      <c r="CB247" s="485"/>
    </row>
    <row r="248" spans="1:16270" s="259" customFormat="1" ht="14" hidden="1" outlineLevel="1">
      <c r="A248" s="261" t="s">
        <v>149</v>
      </c>
      <c r="B248" s="681"/>
      <c r="C248" s="684"/>
      <c r="D248" s="488"/>
      <c r="E248" s="488">
        <f>+E240+E246+E247+D248</f>
        <v>0</v>
      </c>
      <c r="F248" s="488">
        <f t="shared" ref="F248:AZ248" si="305">+F240+F246+F247+E248</f>
        <v>0</v>
      </c>
      <c r="G248" s="488">
        <f t="shared" si="305"/>
        <v>0</v>
      </c>
      <c r="H248" s="488">
        <f t="shared" si="305"/>
        <v>0</v>
      </c>
      <c r="I248" s="488">
        <f t="shared" si="305"/>
        <v>0</v>
      </c>
      <c r="J248" s="488">
        <f t="shared" si="305"/>
        <v>0</v>
      </c>
      <c r="K248" s="488">
        <f t="shared" si="305"/>
        <v>0</v>
      </c>
      <c r="L248" s="488">
        <f t="shared" si="305"/>
        <v>0</v>
      </c>
      <c r="M248" s="488">
        <f t="shared" si="305"/>
        <v>0</v>
      </c>
      <c r="N248" s="488">
        <f t="shared" si="305"/>
        <v>0</v>
      </c>
      <c r="O248" s="488">
        <f t="shared" si="305"/>
        <v>0</v>
      </c>
      <c r="P248" s="488">
        <f t="shared" si="305"/>
        <v>0</v>
      </c>
      <c r="Q248" s="488">
        <f t="shared" si="305"/>
        <v>0</v>
      </c>
      <c r="R248" s="488">
        <f t="shared" si="305"/>
        <v>0</v>
      </c>
      <c r="S248" s="488">
        <f t="shared" si="305"/>
        <v>0</v>
      </c>
      <c r="T248" s="488">
        <f t="shared" si="305"/>
        <v>0</v>
      </c>
      <c r="U248" s="488">
        <f t="shared" si="305"/>
        <v>0</v>
      </c>
      <c r="V248" s="488">
        <f t="shared" si="305"/>
        <v>0</v>
      </c>
      <c r="W248" s="488">
        <f t="shared" si="305"/>
        <v>0</v>
      </c>
      <c r="X248" s="488">
        <f t="shared" si="305"/>
        <v>0</v>
      </c>
      <c r="Y248" s="488">
        <f t="shared" si="305"/>
        <v>0</v>
      </c>
      <c r="Z248" s="488">
        <f t="shared" si="305"/>
        <v>0</v>
      </c>
      <c r="AA248" s="488">
        <f t="shared" si="305"/>
        <v>0</v>
      </c>
      <c r="AB248" s="488">
        <f t="shared" si="305"/>
        <v>0</v>
      </c>
      <c r="AC248" s="488">
        <f t="shared" si="305"/>
        <v>0</v>
      </c>
      <c r="AD248" s="488">
        <f t="shared" si="305"/>
        <v>0</v>
      </c>
      <c r="AE248" s="488">
        <f t="shared" si="305"/>
        <v>0</v>
      </c>
      <c r="AF248" s="488">
        <f t="shared" si="305"/>
        <v>0</v>
      </c>
      <c r="AG248" s="488">
        <f t="shared" si="305"/>
        <v>0</v>
      </c>
      <c r="AH248" s="488">
        <f t="shared" si="305"/>
        <v>0</v>
      </c>
      <c r="AI248" s="488">
        <f t="shared" si="305"/>
        <v>0</v>
      </c>
      <c r="AJ248" s="488">
        <f t="shared" si="305"/>
        <v>0</v>
      </c>
      <c r="AK248" s="488">
        <f t="shared" si="305"/>
        <v>0</v>
      </c>
      <c r="AL248" s="488">
        <f t="shared" si="305"/>
        <v>0</v>
      </c>
      <c r="AM248" s="488">
        <f t="shared" si="305"/>
        <v>0</v>
      </c>
      <c r="AN248" s="488">
        <f t="shared" si="305"/>
        <v>0</v>
      </c>
      <c r="AO248" s="488">
        <f t="shared" si="305"/>
        <v>0</v>
      </c>
      <c r="AP248" s="488">
        <f t="shared" si="305"/>
        <v>0</v>
      </c>
      <c r="AQ248" s="488">
        <f t="shared" si="305"/>
        <v>0</v>
      </c>
      <c r="AR248" s="488">
        <f t="shared" si="305"/>
        <v>0</v>
      </c>
      <c r="AS248" s="488">
        <f t="shared" si="305"/>
        <v>0</v>
      </c>
      <c r="AT248" s="488">
        <f t="shared" si="305"/>
        <v>0</v>
      </c>
      <c r="AU248" s="488">
        <f t="shared" si="305"/>
        <v>0</v>
      </c>
      <c r="AV248" s="488">
        <f t="shared" si="305"/>
        <v>0</v>
      </c>
      <c r="AW248" s="488">
        <f t="shared" si="305"/>
        <v>0</v>
      </c>
      <c r="AX248" s="488">
        <f t="shared" si="305"/>
        <v>0</v>
      </c>
      <c r="AY248" s="488">
        <f t="shared" si="305"/>
        <v>0</v>
      </c>
      <c r="AZ248" s="488">
        <f t="shared" si="305"/>
        <v>0</v>
      </c>
      <c r="BA248" s="488">
        <f t="shared" ref="BA248" si="306">+BA240+BA246+BA247+AZ248</f>
        <v>0</v>
      </c>
      <c r="BB248" s="488">
        <f t="shared" ref="BB248" si="307">+BB240+BB246+BB247+BA248</f>
        <v>0</v>
      </c>
      <c r="BC248" s="488">
        <f t="shared" ref="BC248" si="308">+BC240+BC246+BC247+BB248</f>
        <v>0</v>
      </c>
      <c r="BD248" s="488">
        <f t="shared" ref="BD248" si="309">+BD240+BD246+BD247+BC248</f>
        <v>0</v>
      </c>
      <c r="BE248" s="488">
        <f t="shared" ref="BE248" si="310">+BE240+BE246+BE247+BD248</f>
        <v>0</v>
      </c>
      <c r="BF248" s="488">
        <f t="shared" ref="BF248" si="311">+BF240+BF246+BF247+BE248</f>
        <v>0</v>
      </c>
      <c r="BG248" s="488">
        <f t="shared" ref="BG248" si="312">+BG240+BG246+BG247+BF248</f>
        <v>0</v>
      </c>
      <c r="BH248" s="488">
        <f t="shared" ref="BH248" si="313">+BH240+BH246+BH247+BG248</f>
        <v>0</v>
      </c>
      <c r="BI248" s="488">
        <f t="shared" ref="BI248" si="314">+BI240+BI246+BI247+BH248</f>
        <v>0</v>
      </c>
      <c r="BJ248" s="488">
        <f t="shared" ref="BJ248" si="315">+BJ240+BJ246+BJ247+BI248</f>
        <v>0</v>
      </c>
      <c r="BK248" s="488">
        <f t="shared" ref="BK248" si="316">+BK240+BK246+BK247+BJ248</f>
        <v>0</v>
      </c>
      <c r="BL248" s="488">
        <f t="shared" ref="BL248" si="317">+BL240+BL246+BL247+BK248</f>
        <v>0</v>
      </c>
      <c r="BM248" s="488">
        <f t="shared" ref="BM248" si="318">+BM240+BM246+BM247+BL248</f>
        <v>0</v>
      </c>
      <c r="BN248" s="488">
        <f t="shared" ref="BN248" si="319">+BN240+BN246+BN247+BM248</f>
        <v>0</v>
      </c>
      <c r="BO248" s="488">
        <f t="shared" ref="BO248" si="320">+BO240+BO246+BO247+BN248</f>
        <v>0</v>
      </c>
      <c r="BP248" s="488">
        <f t="shared" ref="BP248" si="321">+BP240+BP246+BP247+BO248</f>
        <v>0</v>
      </c>
      <c r="BQ248" s="488">
        <f t="shared" ref="BQ248" si="322">+BQ240+BQ246+BQ247+BP248</f>
        <v>0</v>
      </c>
      <c r="BR248" s="485"/>
      <c r="BS248" s="485"/>
      <c r="BT248" s="485"/>
      <c r="BU248" s="485"/>
      <c r="BV248" s="485"/>
      <c r="BW248" s="485"/>
      <c r="BX248" s="485"/>
      <c r="BY248" s="485"/>
      <c r="BZ248" s="485"/>
      <c r="CA248" s="485"/>
      <c r="CB248" s="485"/>
    </row>
    <row r="249" spans="1:16270" s="259" customFormat="1" ht="14" hidden="1" outlineLevel="1">
      <c r="B249" s="268"/>
      <c r="C249" s="485"/>
      <c r="D249" s="485"/>
      <c r="E249" s="485"/>
      <c r="F249" s="485"/>
      <c r="G249" s="485"/>
      <c r="H249" s="485"/>
      <c r="I249" s="485"/>
      <c r="J249" s="485"/>
      <c r="K249" s="485"/>
      <c r="L249" s="485"/>
      <c r="M249" s="485"/>
      <c r="N249" s="485"/>
      <c r="O249" s="485"/>
      <c r="P249" s="485"/>
      <c r="Q249" s="485"/>
      <c r="R249" s="485"/>
      <c r="S249" s="485"/>
      <c r="T249" s="485"/>
      <c r="U249" s="485"/>
      <c r="V249" s="485"/>
      <c r="W249" s="485"/>
      <c r="X249" s="485"/>
      <c r="Y249" s="485"/>
      <c r="Z249" s="485"/>
      <c r="AA249" s="485"/>
      <c r="AB249" s="485"/>
      <c r="AC249" s="485"/>
      <c r="AD249" s="485"/>
      <c r="AE249" s="485"/>
      <c r="AF249" s="485"/>
      <c r="AG249" s="485"/>
      <c r="AH249" s="485"/>
      <c r="AI249" s="485"/>
      <c r="AJ249" s="485"/>
      <c r="AK249" s="485"/>
      <c r="AL249" s="485"/>
      <c r="AM249" s="485"/>
      <c r="AN249" s="485"/>
      <c r="AO249" s="485"/>
      <c r="AP249" s="485"/>
      <c r="AQ249" s="485"/>
      <c r="AR249" s="485"/>
      <c r="AS249" s="485"/>
      <c r="AT249" s="485"/>
      <c r="AU249" s="485"/>
      <c r="AV249" s="485"/>
      <c r="AW249" s="485"/>
      <c r="AX249" s="485"/>
      <c r="AY249" s="485"/>
      <c r="AZ249" s="485"/>
      <c r="BA249" s="485"/>
      <c r="BB249" s="485"/>
      <c r="BC249" s="485"/>
      <c r="BD249" s="485"/>
      <c r="BE249" s="485"/>
      <c r="BF249" s="485"/>
      <c r="BG249" s="485"/>
      <c r="BH249" s="485"/>
      <c r="BI249" s="485"/>
      <c r="BJ249" s="485"/>
      <c r="BK249" s="485"/>
      <c r="BL249" s="485"/>
      <c r="BM249" s="485"/>
      <c r="BN249" s="485"/>
      <c r="BO249" s="485"/>
      <c r="BP249" s="485"/>
      <c r="BQ249" s="485"/>
      <c r="BR249" s="485"/>
      <c r="BS249" s="485"/>
      <c r="BT249" s="485"/>
      <c r="BU249" s="485"/>
      <c r="BV249" s="485"/>
      <c r="BW249" s="485"/>
      <c r="BX249" s="485"/>
      <c r="BY249" s="485"/>
      <c r="BZ249" s="485"/>
      <c r="CA249" s="485"/>
      <c r="CB249" s="485"/>
    </row>
    <row r="250" spans="1:16270" s="259" customFormat="1" ht="14" hidden="1" outlineLevel="1">
      <c r="A250" s="261" t="s">
        <v>96</v>
      </c>
      <c r="B250" s="673">
        <f>+(1+'Resid - Datos'!O58)^(1/12)-1</f>
        <v>8.7345938235519061E-3</v>
      </c>
      <c r="C250" s="684">
        <f>SUM(D250:BQ250)</f>
        <v>0</v>
      </c>
      <c r="D250" s="488"/>
      <c r="E250" s="488"/>
      <c r="F250" s="488">
        <f>IPMT($B$250,1,1,E248)</f>
        <v>0</v>
      </c>
      <c r="G250" s="488">
        <f t="shared" ref="G250:BQ250" si="323">IPMT($B$250,1,1,F248)</f>
        <v>0</v>
      </c>
      <c r="H250" s="488">
        <f t="shared" si="323"/>
        <v>0</v>
      </c>
      <c r="I250" s="488">
        <f t="shared" si="323"/>
        <v>0</v>
      </c>
      <c r="J250" s="488">
        <f t="shared" si="323"/>
        <v>0</v>
      </c>
      <c r="K250" s="488">
        <f t="shared" si="323"/>
        <v>0</v>
      </c>
      <c r="L250" s="488">
        <f t="shared" si="323"/>
        <v>0</v>
      </c>
      <c r="M250" s="488">
        <f t="shared" si="323"/>
        <v>0</v>
      </c>
      <c r="N250" s="488">
        <f t="shared" si="323"/>
        <v>0</v>
      </c>
      <c r="O250" s="488">
        <f t="shared" si="323"/>
        <v>0</v>
      </c>
      <c r="P250" s="488">
        <f t="shared" si="323"/>
        <v>0</v>
      </c>
      <c r="Q250" s="488">
        <f t="shared" si="323"/>
        <v>0</v>
      </c>
      <c r="R250" s="488">
        <f t="shared" si="323"/>
        <v>0</v>
      </c>
      <c r="S250" s="488">
        <f t="shared" si="323"/>
        <v>0</v>
      </c>
      <c r="T250" s="488">
        <f t="shared" si="323"/>
        <v>0</v>
      </c>
      <c r="U250" s="488">
        <f t="shared" si="323"/>
        <v>0</v>
      </c>
      <c r="V250" s="488">
        <f t="shared" si="323"/>
        <v>0</v>
      </c>
      <c r="W250" s="488">
        <f t="shared" si="323"/>
        <v>0</v>
      </c>
      <c r="X250" s="488">
        <f t="shared" si="323"/>
        <v>0</v>
      </c>
      <c r="Y250" s="488">
        <f t="shared" si="323"/>
        <v>0</v>
      </c>
      <c r="Z250" s="488">
        <f t="shared" si="323"/>
        <v>0</v>
      </c>
      <c r="AA250" s="488">
        <f t="shared" si="323"/>
        <v>0</v>
      </c>
      <c r="AB250" s="488">
        <f t="shared" si="323"/>
        <v>0</v>
      </c>
      <c r="AC250" s="488">
        <f t="shared" si="323"/>
        <v>0</v>
      </c>
      <c r="AD250" s="488">
        <f t="shared" si="323"/>
        <v>0</v>
      </c>
      <c r="AE250" s="488">
        <f t="shared" si="323"/>
        <v>0</v>
      </c>
      <c r="AF250" s="488">
        <f t="shared" si="323"/>
        <v>0</v>
      </c>
      <c r="AG250" s="488">
        <f t="shared" si="323"/>
        <v>0</v>
      </c>
      <c r="AH250" s="488">
        <f t="shared" si="323"/>
        <v>0</v>
      </c>
      <c r="AI250" s="488">
        <f t="shared" si="323"/>
        <v>0</v>
      </c>
      <c r="AJ250" s="488">
        <f t="shared" si="323"/>
        <v>0</v>
      </c>
      <c r="AK250" s="488">
        <f t="shared" si="323"/>
        <v>0</v>
      </c>
      <c r="AL250" s="488">
        <f t="shared" si="323"/>
        <v>0</v>
      </c>
      <c r="AM250" s="488">
        <f t="shared" si="323"/>
        <v>0</v>
      </c>
      <c r="AN250" s="488">
        <f t="shared" si="323"/>
        <v>0</v>
      </c>
      <c r="AO250" s="488">
        <f t="shared" si="323"/>
        <v>0</v>
      </c>
      <c r="AP250" s="488">
        <f t="shared" si="323"/>
        <v>0</v>
      </c>
      <c r="AQ250" s="488">
        <f t="shared" si="323"/>
        <v>0</v>
      </c>
      <c r="AR250" s="488">
        <f t="shared" si="323"/>
        <v>0</v>
      </c>
      <c r="AS250" s="488">
        <f t="shared" si="323"/>
        <v>0</v>
      </c>
      <c r="AT250" s="488">
        <f t="shared" si="323"/>
        <v>0</v>
      </c>
      <c r="AU250" s="488">
        <f t="shared" si="323"/>
        <v>0</v>
      </c>
      <c r="AV250" s="488">
        <f t="shared" si="323"/>
        <v>0</v>
      </c>
      <c r="AW250" s="488">
        <f t="shared" si="323"/>
        <v>0</v>
      </c>
      <c r="AX250" s="488">
        <f t="shared" si="323"/>
        <v>0</v>
      </c>
      <c r="AY250" s="488">
        <f t="shared" si="323"/>
        <v>0</v>
      </c>
      <c r="AZ250" s="488">
        <f t="shared" si="323"/>
        <v>0</v>
      </c>
      <c r="BA250" s="488">
        <f t="shared" si="323"/>
        <v>0</v>
      </c>
      <c r="BB250" s="488">
        <f t="shared" si="323"/>
        <v>0</v>
      </c>
      <c r="BC250" s="488">
        <f t="shared" si="323"/>
        <v>0</v>
      </c>
      <c r="BD250" s="488">
        <f t="shared" si="323"/>
        <v>0</v>
      </c>
      <c r="BE250" s="488">
        <f t="shared" si="323"/>
        <v>0</v>
      </c>
      <c r="BF250" s="488">
        <f t="shared" si="323"/>
        <v>0</v>
      </c>
      <c r="BG250" s="488">
        <f t="shared" si="323"/>
        <v>0</v>
      </c>
      <c r="BH250" s="488">
        <f t="shared" si="323"/>
        <v>0</v>
      </c>
      <c r="BI250" s="488">
        <f t="shared" si="323"/>
        <v>0</v>
      </c>
      <c r="BJ250" s="488">
        <f t="shared" si="323"/>
        <v>0</v>
      </c>
      <c r="BK250" s="488">
        <f t="shared" si="323"/>
        <v>0</v>
      </c>
      <c r="BL250" s="488">
        <f t="shared" si="323"/>
        <v>0</v>
      </c>
      <c r="BM250" s="488">
        <f t="shared" si="323"/>
        <v>0</v>
      </c>
      <c r="BN250" s="488">
        <f t="shared" si="323"/>
        <v>0</v>
      </c>
      <c r="BO250" s="488">
        <f t="shared" si="323"/>
        <v>0</v>
      </c>
      <c r="BP250" s="488">
        <f t="shared" si="323"/>
        <v>0</v>
      </c>
      <c r="BQ250" s="488">
        <f t="shared" si="323"/>
        <v>0</v>
      </c>
      <c r="BR250" s="485"/>
      <c r="BS250" s="485"/>
      <c r="BT250" s="485"/>
      <c r="BU250" s="485"/>
      <c r="BV250" s="485"/>
      <c r="BW250" s="485"/>
      <c r="BX250" s="485"/>
      <c r="BY250" s="485"/>
      <c r="BZ250" s="485"/>
      <c r="CA250" s="485"/>
      <c r="CB250" s="485"/>
    </row>
    <row r="251" spans="1:16270" s="145" customFormat="1" ht="6" customHeight="1" collapsed="1">
      <c r="C251" s="137"/>
      <c r="D251" s="137"/>
      <c r="E251" s="137"/>
      <c r="F251" s="137"/>
      <c r="G251" s="137"/>
      <c r="H251" s="137"/>
      <c r="I251" s="137"/>
      <c r="J251" s="137"/>
      <c r="K251" s="137"/>
      <c r="L251" s="137"/>
      <c r="M251" s="137"/>
      <c r="N251" s="137"/>
      <c r="O251" s="137"/>
      <c r="P251" s="137"/>
      <c r="Q251" s="137"/>
      <c r="R251" s="137"/>
      <c r="S251" s="137"/>
      <c r="T251" s="137"/>
      <c r="U251" s="137"/>
      <c r="V251" s="137"/>
      <c r="W251" s="137"/>
      <c r="X251" s="137"/>
      <c r="Y251" s="137"/>
      <c r="Z251" s="137"/>
      <c r="AA251" s="137"/>
      <c r="AB251" s="137"/>
      <c r="AC251" s="137"/>
      <c r="AD251" s="137"/>
      <c r="AE251" s="137"/>
      <c r="AF251" s="137"/>
      <c r="AG251" s="137"/>
      <c r="AH251" s="137"/>
      <c r="AI251" s="137"/>
      <c r="AJ251" s="137"/>
      <c r="AK251" s="137"/>
      <c r="AL251" s="137"/>
      <c r="AM251" s="137"/>
      <c r="AN251" s="137"/>
      <c r="AO251" s="137"/>
      <c r="AP251" s="137"/>
      <c r="AQ251" s="137"/>
      <c r="AR251" s="137"/>
      <c r="AS251" s="137"/>
      <c r="AT251" s="137"/>
      <c r="AU251" s="137"/>
      <c r="AV251" s="137"/>
      <c r="AW251" s="137"/>
      <c r="AX251" s="137"/>
      <c r="AY251" s="137"/>
      <c r="AZ251" s="137"/>
      <c r="BA251" s="137"/>
      <c r="BB251" s="137"/>
      <c r="BC251" s="137"/>
      <c r="BD251" s="137"/>
      <c r="BE251" s="137"/>
      <c r="BF251" s="137"/>
      <c r="BG251" s="137"/>
      <c r="BH251" s="137"/>
      <c r="BI251" s="137"/>
      <c r="BJ251" s="137"/>
      <c r="BK251" s="137"/>
      <c r="BL251" s="137"/>
      <c r="BM251" s="137"/>
      <c r="BN251" s="137"/>
      <c r="BO251" s="137"/>
      <c r="BP251" s="137"/>
      <c r="BQ251" s="137"/>
      <c r="BR251" s="137"/>
      <c r="BS251" s="137"/>
      <c r="BT251" s="137"/>
      <c r="BU251" s="137"/>
      <c r="BV251" s="137"/>
      <c r="BW251" s="137"/>
      <c r="BX251" s="137"/>
      <c r="BY251" s="137"/>
      <c r="BZ251" s="137"/>
      <c r="CA251" s="137"/>
      <c r="CB251" s="137"/>
    </row>
    <row r="252" spans="1:16270" s="688" customFormat="1" thickBot="1">
      <c r="A252" s="685" t="s">
        <v>72</v>
      </c>
      <c r="B252" s="685"/>
      <c r="C252" s="686">
        <f>SUM(D252:BQ252)</f>
        <v>9696905.8149931524</v>
      </c>
      <c r="D252" s="686">
        <f>D94+D217+D227+D229+D240+D243+D247+D250</f>
        <v>-1943994.4</v>
      </c>
      <c r="E252" s="686">
        <f>E94+E217+E227+E229+E240+E243+E247+E250</f>
        <v>-41703.288267251046</v>
      </c>
      <c r="F252" s="686">
        <f>F94+F217+F227+F229+F240+F243+F247+F250</f>
        <v>-90852.642457293288</v>
      </c>
      <c r="G252" s="686">
        <f>G94+G217+G227+G229+G240+G243+G247+G250</f>
        <v>-90852.642457293288</v>
      </c>
      <c r="H252" s="686">
        <f>H94+H217+H227+H229+H240+H243+H247+H250</f>
        <v>-110217.3081733968</v>
      </c>
      <c r="I252" s="686">
        <f>I94+I217+I227+I229+I240+I243+I247+I250</f>
        <v>-110217.3081733968</v>
      </c>
      <c r="J252" s="686">
        <f>J94+J217+J227+J229+J240+J243+J247+J250</f>
        <v>-68828.378329150684</v>
      </c>
      <c r="K252" s="686">
        <f>K94+K217+K227+K229+K240+K243+K247+K250</f>
        <v>607112.97559915297</v>
      </c>
      <c r="L252" s="686">
        <f>L94+L217+L227+L229+L240+L243+L247+L250</f>
        <v>388052.85294131038</v>
      </c>
      <c r="M252" s="686">
        <f>M94+M217+M227+M229+M240+M243+M247+M250</f>
        <v>433049.52741011896</v>
      </c>
      <c r="N252" s="686">
        <f>N94+N217+N227+N229+N240+N243+N247+N250</f>
        <v>190204.43718013758</v>
      </c>
      <c r="O252" s="686">
        <f>O94+O217+O227+O229+O240+O243+O247+O250</f>
        <v>89283.402544492827</v>
      </c>
      <c r="P252" s="686">
        <f>P94+P217+P227+P229+P240+P243+P247+P250</f>
        <v>200391.34408536225</v>
      </c>
      <c r="Q252" s="686">
        <f>Q94+Q217+Q227+Q229+Q240+Q243+Q247+Q250</f>
        <v>146585.66717813534</v>
      </c>
      <c r="R252" s="686">
        <f>R94+R217+R227+R229+R240+R243+R247+R250</f>
        <v>164106.65438119241</v>
      </c>
      <c r="S252" s="686">
        <f>S94+S217+S227+S229+S240+S243+S247+S250</f>
        <v>186354.86269791858</v>
      </c>
      <c r="T252" s="686">
        <f>T94+T217+T227+T229+T240+T243+T247+T250</f>
        <v>132302.29299511574</v>
      </c>
      <c r="U252" s="686">
        <f>U94+U217+U227+U229+U240+U243+U247+U250</f>
        <v>199577.27985892972</v>
      </c>
      <c r="V252" s="686">
        <f>V94+V217+V227+V229+V240+V243+V247+V250</f>
        <v>196786.38648291698</v>
      </c>
      <c r="W252" s="686">
        <f>W94+W217+W227+W229+W240+W243+W247+W250</f>
        <v>167332.3010760053</v>
      </c>
      <c r="X252" s="686">
        <f>X94+X217+X227+X229+X240+X243+X247+X250</f>
        <v>163294.76498288699</v>
      </c>
      <c r="Y252" s="686">
        <f>Y94+Y217+Y227+Y229+Y240+Y243+Y247+Y250</f>
        <v>87563.857197621706</v>
      </c>
      <c r="Z252" s="686">
        <f>Z94+Z217+Z227+Z229+Z240+Z243+Z247+Z250</f>
        <v>72106.549729674982</v>
      </c>
      <c r="AA252" s="686">
        <f>AA94+AA217+AA227+AA229+AA240+AA243+AA247+AA250</f>
        <v>51767.302395246901</v>
      </c>
      <c r="AB252" s="686">
        <f>AB94+AB217+AB227+AB229+AB240+AB243+AB247+AB250</f>
        <v>10752.353990091033</v>
      </c>
      <c r="AC252" s="686">
        <f>AC94+AC217+AC227+AC229+AC240+AC243+AC247+AC250</f>
        <v>16351.947359558362</v>
      </c>
      <c r="AD252" s="686">
        <f>AD94+AD217+AD227+AD229+AD240+AD243+AD247+AD250</f>
        <v>17182.395535053201</v>
      </c>
      <c r="AE252" s="686">
        <f>AE94+AE217+AE227+AE229+AE240+AE243+AE247+AE250</f>
        <v>-62193.647336848073</v>
      </c>
      <c r="AF252" s="686">
        <f>AF94+AF217+AF227+AF229+AF240+AF243+AF247+AF250</f>
        <v>-71582.4863951968</v>
      </c>
      <c r="AG252" s="686">
        <f>AG94+AG217+AG227+AG229+AG240+AG243+AG247+AG250</f>
        <v>-63727.235344964582</v>
      </c>
      <c r="AH252" s="686">
        <f>AH94+AH217+AH227+AH229+AH240+AH243+AH247+AH250</f>
        <v>-182896.58453562512</v>
      </c>
      <c r="AI252" s="686">
        <f>AI94+AI217+AI227+AI229+AI240+AI243+AI247+AI250</f>
        <v>-186907.45110925846</v>
      </c>
      <c r="AJ252" s="686">
        <f>AJ94+AJ217+AJ227+AJ229+AJ240+AJ243+AJ247+AJ250</f>
        <v>-156270.69392172011</v>
      </c>
      <c r="AK252" s="686">
        <f>AK94+AK217+AK227+AK229+AK240+AK243+AK247+AK250</f>
        <v>-133942.50232716085</v>
      </c>
      <c r="AL252" s="686">
        <f>AL94+AL217+AL227+AL229+AL240+AL243+AL247+AL250</f>
        <v>-138713.95193810013</v>
      </c>
      <c r="AM252" s="686">
        <f>AM94+AM217+AM227+AM229+AM240+AM243+AM247+AM250</f>
        <v>-22455.24977633141</v>
      </c>
      <c r="AN252" s="686">
        <f>AN94+AN217+AN227+AN229+AN240+AN243+AN247+AN250</f>
        <v>1046331.7252454916</v>
      </c>
      <c r="AO252" s="686">
        <f>AO94+AO217+AO227+AO229+AO240+AO243+AO247+AO250</f>
        <v>817358.50264188892</v>
      </c>
      <c r="AP252" s="686">
        <f>AP94+AP217+AP227+AP229+AP240+AP243+AP247+AP250</f>
        <v>853672.11164446862</v>
      </c>
      <c r="AQ252" s="686">
        <f>AQ94+AQ217+AQ227+AQ229+AQ240+AQ243+AQ247+AQ250</f>
        <v>108848.1856707422</v>
      </c>
      <c r="AR252" s="686">
        <f>AR94+AR217+AR227+AR229+AR240+AR243+AR247+AR250</f>
        <v>118967.25934156089</v>
      </c>
      <c r="AS252" s="686">
        <f>AS94+AS217+AS227+AS229+AS240+AS243+AS247+AS250</f>
        <v>133435.41199131749</v>
      </c>
      <c r="AT252" s="686">
        <f>AT94+AT217+AT227+AT229+AT240+AT243+AT247+AT250</f>
        <v>1196474.9753496761</v>
      </c>
      <c r="AU252" s="686">
        <f>AU94+AU217+AU227+AU229+AU240+AU243+AU247+AU250</f>
        <v>933270.30157572369</v>
      </c>
      <c r="AV252" s="686">
        <f>AV94+AV217+AV227+AV229+AV240+AV243+AV247+AV250</f>
        <v>975762.48231410875</v>
      </c>
      <c r="AW252" s="686">
        <f>AW94+AW217+AW227+AW229+AW240+AW243+AW247+AW250</f>
        <v>71632.581476404652</v>
      </c>
      <c r="AX252" s="686">
        <f>AX94+AX217+AX227+AX229+AX240+AX243+AX247+AX250</f>
        <v>-80208.929680649817</v>
      </c>
      <c r="AY252" s="686">
        <f>AY94+AY217+AY227+AY229+AY240+AY243+AY247+AY250</f>
        <v>-73887.837441318276</v>
      </c>
      <c r="AZ252" s="686">
        <f>AZ94+AZ217+AZ227+AZ229+AZ240+AZ243+AZ247+AZ250</f>
        <v>942083.70910744648</v>
      </c>
      <c r="BA252" s="686">
        <f>BA94+BA217+BA227+BA229+BA240+BA243+BA247+BA250</f>
        <v>739478.43796023855</v>
      </c>
      <c r="BB252" s="686">
        <f>BB94+BB217+BB227+BB229+BB240+BB243+BB247+BB250</f>
        <v>749295.8217854324</v>
      </c>
      <c r="BC252" s="686">
        <f>BC94+BC217+BC227+BC229+BC240+BC243+BC247+BC250</f>
        <v>-51630.90863048529</v>
      </c>
      <c r="BD252" s="686">
        <f>BD94+BD217+BD227+BD229+BD240+BD243+BD247+BD250</f>
        <v>-63770.823415407169</v>
      </c>
      <c r="BE252" s="686">
        <f>BE94+BE217+BE227+BE229+BE240+BE243+BE247+BE250</f>
        <v>-77886.373291388154</v>
      </c>
      <c r="BF252" s="686">
        <f>BF94+BF217+BF227+BF229+BF240+BF243+BF247+BF250</f>
        <v>506547.66243927891</v>
      </c>
      <c r="BG252" s="686">
        <f>BG94+BG217+BG227+BG229+BG240+BG243+BG247+BG250</f>
        <v>398433.74549168174</v>
      </c>
      <c r="BH252" s="686">
        <f>BH94+BH217+BH227+BH229+BH240+BH243+BH247+BH250</f>
        <v>414936.38833900506</v>
      </c>
      <c r="BI252" s="686">
        <f>BI94+BI217+BI227+BI229+BI240+BI243+BI247+BI250</f>
        <v>-7042</v>
      </c>
      <c r="BJ252" s="686">
        <f>BJ94+BJ217+BJ227+BJ229+BJ240+BJ243+BJ247+BJ250</f>
        <v>0</v>
      </c>
      <c r="BK252" s="686">
        <f>BK94+BK217+BK227+BK229+BK240+BK243+BK247+BK250</f>
        <v>0</v>
      </c>
      <c r="BL252" s="686">
        <f>BL94+BL217+BL227+BL229+BL240+BL243+BL247+BL250</f>
        <v>0</v>
      </c>
      <c r="BM252" s="686">
        <f>BM94+BM217+BM227+BM229+BM240+BM243+BM247+BM250</f>
        <v>0</v>
      </c>
      <c r="BN252" s="686">
        <f>BN94+BN217+BN227+BN229+BN240+BN243+BN247+BN250</f>
        <v>0</v>
      </c>
      <c r="BO252" s="686">
        <f>BO94+BO217+BO227+BO229+BO240+BO243+BO247+BO250</f>
        <v>0</v>
      </c>
      <c r="BP252" s="686">
        <f>BP94+BP217+BP227+BP229+BP240+BP243+BP247+BP250</f>
        <v>0</v>
      </c>
      <c r="BQ252" s="686">
        <f>BQ94+BQ217+BQ227+BQ229+BQ240+BQ243+BQ247+BQ250</f>
        <v>0</v>
      </c>
      <c r="BR252" s="687"/>
      <c r="BS252" s="687"/>
      <c r="BT252" s="687"/>
      <c r="BU252" s="687"/>
      <c r="BV252" s="687"/>
      <c r="BW252" s="687"/>
      <c r="BX252" s="687"/>
      <c r="BY252" s="687"/>
      <c r="BZ252" s="687"/>
      <c r="CA252" s="687"/>
      <c r="CB252" s="687"/>
    </row>
    <row r="253" spans="1:16270" s="124" customFormat="1" thickTop="1">
      <c r="A253" s="99" t="s">
        <v>10</v>
      </c>
      <c r="B253" s="99"/>
      <c r="C253" s="477">
        <f>+C252-D252</f>
        <v>11640900.214993153</v>
      </c>
      <c r="D253" s="169">
        <f>+D252</f>
        <v>-1943994.4</v>
      </c>
      <c r="E253" s="169">
        <f t="shared" ref="E253:AJ253" si="324">+E252+D253</f>
        <v>-1985697.688267251</v>
      </c>
      <c r="F253" s="169">
        <f t="shared" si="324"/>
        <v>-2076550.3307245444</v>
      </c>
      <c r="G253" s="169">
        <f t="shared" si="324"/>
        <v>-2167402.9731818377</v>
      </c>
      <c r="H253" s="169">
        <f t="shared" si="324"/>
        <v>-2277620.2813552343</v>
      </c>
      <c r="I253" s="169">
        <f t="shared" si="324"/>
        <v>-2387837.589528631</v>
      </c>
      <c r="J253" s="169">
        <f t="shared" si="324"/>
        <v>-2456665.9678577818</v>
      </c>
      <c r="K253" s="169">
        <f t="shared" si="324"/>
        <v>-1849552.9922586288</v>
      </c>
      <c r="L253" s="169">
        <f t="shared" si="324"/>
        <v>-1461500.1393173183</v>
      </c>
      <c r="M253" s="169">
        <f t="shared" si="324"/>
        <v>-1028450.6119071994</v>
      </c>
      <c r="N253" s="169">
        <f t="shared" si="324"/>
        <v>-838246.17472706176</v>
      </c>
      <c r="O253" s="169">
        <f t="shared" si="324"/>
        <v>-748962.77218256891</v>
      </c>
      <c r="P253" s="169">
        <f t="shared" si="324"/>
        <v>-548571.42809720663</v>
      </c>
      <c r="Q253" s="169">
        <f t="shared" si="324"/>
        <v>-401985.76091907127</v>
      </c>
      <c r="R253" s="169">
        <f t="shared" si="324"/>
        <v>-237879.10653787886</v>
      </c>
      <c r="S253" s="169">
        <f t="shared" si="324"/>
        <v>-51524.243839960283</v>
      </c>
      <c r="T253" s="169">
        <f t="shared" si="324"/>
        <v>80778.049155155459</v>
      </c>
      <c r="U253" s="169">
        <f t="shared" si="324"/>
        <v>280355.32901408518</v>
      </c>
      <c r="V253" s="169">
        <f t="shared" si="324"/>
        <v>477141.71549700212</v>
      </c>
      <c r="W253" s="169">
        <f t="shared" si="324"/>
        <v>644474.01657300745</v>
      </c>
      <c r="X253" s="169">
        <f t="shared" si="324"/>
        <v>807768.78155589441</v>
      </c>
      <c r="Y253" s="169">
        <f t="shared" si="324"/>
        <v>895332.63875351613</v>
      </c>
      <c r="Z253" s="169">
        <f t="shared" si="324"/>
        <v>967439.18848319107</v>
      </c>
      <c r="AA253" s="169">
        <f t="shared" si="324"/>
        <v>1019206.490878438</v>
      </c>
      <c r="AB253" s="169">
        <f t="shared" si="324"/>
        <v>1029958.844868529</v>
      </c>
      <c r="AC253" s="169">
        <f t="shared" si="324"/>
        <v>1046310.7922280873</v>
      </c>
      <c r="AD253" s="169">
        <f t="shared" si="324"/>
        <v>1063493.1877631405</v>
      </c>
      <c r="AE253" s="169">
        <f t="shared" si="324"/>
        <v>1001299.5404262925</v>
      </c>
      <c r="AF253" s="169">
        <f t="shared" si="324"/>
        <v>929717.0540310957</v>
      </c>
      <c r="AG253" s="169">
        <f t="shared" si="324"/>
        <v>865989.81868613116</v>
      </c>
      <c r="AH253" s="169">
        <f t="shared" si="324"/>
        <v>683093.23415050609</v>
      </c>
      <c r="AI253" s="169">
        <f t="shared" si="324"/>
        <v>496185.78304124763</v>
      </c>
      <c r="AJ253" s="169">
        <f t="shared" si="324"/>
        <v>339915.08911952749</v>
      </c>
      <c r="AK253" s="169">
        <f t="shared" ref="AK253:BP253" si="325">+AK252+AJ253</f>
        <v>205972.58679236664</v>
      </c>
      <c r="AL253" s="169">
        <f t="shared" si="325"/>
        <v>67258.634854266507</v>
      </c>
      <c r="AM253" s="169">
        <f t="shared" si="325"/>
        <v>44803.385077935098</v>
      </c>
      <c r="AN253" s="169">
        <f t="shared" si="325"/>
        <v>1091135.1103234268</v>
      </c>
      <c r="AO253" s="169">
        <f t="shared" si="325"/>
        <v>1908493.6129653156</v>
      </c>
      <c r="AP253" s="169">
        <f t="shared" si="325"/>
        <v>2762165.7246097843</v>
      </c>
      <c r="AQ253" s="169">
        <f t="shared" si="325"/>
        <v>2871013.9102805266</v>
      </c>
      <c r="AR253" s="169">
        <f t="shared" si="325"/>
        <v>2989981.1696220874</v>
      </c>
      <c r="AS253" s="169">
        <f t="shared" si="325"/>
        <v>3123416.5816134047</v>
      </c>
      <c r="AT253" s="169">
        <f t="shared" si="325"/>
        <v>4319891.5569630805</v>
      </c>
      <c r="AU253" s="169">
        <f t="shared" si="325"/>
        <v>5253161.8585388046</v>
      </c>
      <c r="AV253" s="169">
        <f t="shared" si="325"/>
        <v>6228924.3408529134</v>
      </c>
      <c r="AW253" s="169">
        <f t="shared" si="325"/>
        <v>6300556.9223293178</v>
      </c>
      <c r="AX253" s="169">
        <f t="shared" si="325"/>
        <v>6220347.9926486677</v>
      </c>
      <c r="AY253" s="169">
        <f t="shared" si="325"/>
        <v>6146460.155207349</v>
      </c>
      <c r="AZ253" s="169">
        <f t="shared" si="325"/>
        <v>7088543.8643147955</v>
      </c>
      <c r="BA253" s="169">
        <f t="shared" si="325"/>
        <v>7828022.3022750337</v>
      </c>
      <c r="BB253" s="169">
        <f t="shared" si="325"/>
        <v>8577318.1240604669</v>
      </c>
      <c r="BC253" s="169">
        <f t="shared" si="325"/>
        <v>8525687.2154299822</v>
      </c>
      <c r="BD253" s="169">
        <f t="shared" si="325"/>
        <v>8461916.3920145743</v>
      </c>
      <c r="BE253" s="169">
        <f t="shared" si="325"/>
        <v>8384030.0187231861</v>
      </c>
      <c r="BF253" s="169">
        <f t="shared" si="325"/>
        <v>8890577.6811624654</v>
      </c>
      <c r="BG253" s="169">
        <f t="shared" si="325"/>
        <v>9289011.426654147</v>
      </c>
      <c r="BH253" s="169">
        <f t="shared" si="325"/>
        <v>9703947.8149931524</v>
      </c>
      <c r="BI253" s="169">
        <f t="shared" si="325"/>
        <v>9696905.8149931524</v>
      </c>
      <c r="BJ253" s="169">
        <f t="shared" si="325"/>
        <v>9696905.8149931524</v>
      </c>
      <c r="BK253" s="169">
        <f t="shared" si="325"/>
        <v>9696905.8149931524</v>
      </c>
      <c r="BL253" s="169">
        <f t="shared" si="325"/>
        <v>9696905.8149931524</v>
      </c>
      <c r="BM253" s="169">
        <f t="shared" si="325"/>
        <v>9696905.8149931524</v>
      </c>
      <c r="BN253" s="169">
        <f t="shared" si="325"/>
        <v>9696905.8149931524</v>
      </c>
      <c r="BO253" s="169">
        <f t="shared" si="325"/>
        <v>9696905.8149931524</v>
      </c>
      <c r="BP253" s="169">
        <f t="shared" si="325"/>
        <v>9696905.8149931524</v>
      </c>
      <c r="BQ253" s="169">
        <f t="shared" ref="BQ253" si="326">+BQ252+BP253</f>
        <v>9696905.8149931524</v>
      </c>
      <c r="BR253" s="398"/>
      <c r="BS253" s="398"/>
      <c r="BT253" s="398"/>
      <c r="BU253" s="398"/>
      <c r="BV253" s="398"/>
      <c r="BW253" s="398"/>
      <c r="BX253" s="398"/>
      <c r="BY253" s="398"/>
      <c r="BZ253" s="398"/>
      <c r="CA253" s="398"/>
      <c r="CB253" s="398"/>
    </row>
    <row r="254" spans="1:16270" s="70" customFormat="1" ht="14">
      <c r="A254" s="66"/>
      <c r="B254" s="66"/>
      <c r="D254" s="66"/>
      <c r="E254" s="66"/>
      <c r="F254" s="66"/>
      <c r="G254" s="66"/>
      <c r="H254" s="66"/>
      <c r="I254" s="66"/>
      <c r="J254" s="66"/>
      <c r="K254" s="66"/>
      <c r="L254" s="66"/>
      <c r="M254" s="66"/>
      <c r="N254" s="66"/>
      <c r="O254" s="66"/>
      <c r="P254" s="66"/>
      <c r="Q254" s="66"/>
      <c r="R254" s="66"/>
      <c r="S254" s="66"/>
      <c r="T254" s="66"/>
      <c r="U254" s="66"/>
      <c r="V254" s="66"/>
      <c r="W254" s="66"/>
      <c r="X254" s="66"/>
      <c r="Y254" s="66"/>
      <c r="Z254" s="66"/>
      <c r="AA254" s="66"/>
      <c r="AB254" s="66"/>
      <c r="AC254" s="66"/>
      <c r="AD254" s="66"/>
      <c r="AE254" s="66"/>
      <c r="AF254" s="66"/>
      <c r="AG254" s="66"/>
      <c r="AH254" s="66"/>
      <c r="AI254" s="66"/>
      <c r="AJ254" s="66"/>
      <c r="AK254" s="66"/>
      <c r="AL254" s="66"/>
      <c r="AM254" s="66"/>
      <c r="AN254" s="66"/>
      <c r="AO254" s="66"/>
      <c r="AP254" s="66"/>
      <c r="AQ254" s="66"/>
      <c r="AR254" s="66"/>
      <c r="AS254" s="66"/>
      <c r="AT254" s="66"/>
      <c r="AU254" s="66"/>
      <c r="AV254" s="66"/>
      <c r="AW254" s="66"/>
      <c r="AX254" s="66"/>
      <c r="AY254" s="66"/>
      <c r="AZ254" s="66"/>
      <c r="BA254" s="66"/>
      <c r="BB254" s="66"/>
      <c r="BC254" s="66"/>
      <c r="BD254" s="66"/>
      <c r="BE254" s="66"/>
      <c r="BF254" s="66"/>
      <c r="BG254" s="66"/>
      <c r="BH254" s="66"/>
      <c r="BI254" s="66"/>
      <c r="BJ254" s="66"/>
      <c r="BK254" s="66"/>
      <c r="BL254" s="66"/>
      <c r="BM254" s="66"/>
      <c r="BN254" s="66"/>
      <c r="BO254" s="66"/>
      <c r="BP254" s="66"/>
      <c r="BQ254" s="66"/>
      <c r="BR254" s="66"/>
      <c r="BS254" s="66"/>
      <c r="BT254" s="66"/>
      <c r="BU254" s="66"/>
      <c r="BV254" s="66"/>
      <c r="BW254" s="66"/>
      <c r="BX254" s="66"/>
      <c r="BY254" s="66"/>
      <c r="BZ254" s="66"/>
      <c r="CA254" s="66"/>
      <c r="CB254" s="66"/>
      <c r="CC254" s="66"/>
      <c r="CD254" s="66"/>
      <c r="CE254" s="66"/>
      <c r="CF254" s="66"/>
      <c r="CG254" s="66"/>
      <c r="CH254" s="66"/>
      <c r="CI254" s="66"/>
      <c r="CJ254" s="66"/>
      <c r="CK254" s="66"/>
      <c r="CL254" s="66"/>
      <c r="CM254" s="66"/>
      <c r="CN254" s="66"/>
      <c r="CO254" s="66"/>
      <c r="CP254" s="66"/>
      <c r="CQ254" s="66"/>
      <c r="CR254" s="66"/>
      <c r="CS254" s="66"/>
      <c r="CT254" s="66"/>
      <c r="CU254" s="66"/>
      <c r="CV254" s="66"/>
      <c r="CW254" s="66"/>
      <c r="CX254" s="66"/>
      <c r="CY254" s="66"/>
      <c r="CZ254" s="66"/>
      <c r="DA254" s="66"/>
      <c r="DB254" s="66"/>
      <c r="DC254" s="66"/>
      <c r="DD254" s="66"/>
      <c r="DE254" s="66"/>
      <c r="DF254" s="66"/>
      <c r="DG254" s="66"/>
      <c r="DH254" s="66"/>
      <c r="DI254" s="66"/>
      <c r="DJ254" s="66"/>
      <c r="DK254" s="66"/>
      <c r="DL254" s="66"/>
      <c r="DM254" s="66"/>
      <c r="DN254" s="66"/>
      <c r="DO254" s="66"/>
      <c r="DP254" s="66"/>
      <c r="DQ254" s="66"/>
      <c r="DR254" s="66"/>
      <c r="DS254" s="66"/>
      <c r="DT254" s="66"/>
      <c r="DU254" s="66"/>
      <c r="DV254" s="66"/>
      <c r="DW254" s="66"/>
      <c r="DX254" s="66"/>
      <c r="DY254" s="66"/>
      <c r="DZ254" s="66"/>
      <c r="EA254" s="66"/>
      <c r="EB254" s="66"/>
      <c r="EC254" s="66"/>
      <c r="ED254" s="66"/>
      <c r="EE254" s="66"/>
      <c r="EF254" s="66"/>
      <c r="EG254" s="66"/>
      <c r="EH254" s="66"/>
      <c r="EI254" s="66"/>
      <c r="EJ254" s="66"/>
      <c r="EK254" s="66"/>
      <c r="EL254" s="66"/>
      <c r="EM254" s="66"/>
      <c r="EN254" s="66"/>
      <c r="EO254" s="66"/>
      <c r="EP254" s="66"/>
      <c r="EQ254" s="66"/>
      <c r="ER254" s="66"/>
      <c r="ES254" s="66"/>
      <c r="ET254" s="66"/>
      <c r="EU254" s="66"/>
      <c r="EV254" s="66"/>
      <c r="EW254" s="66"/>
      <c r="EX254" s="66"/>
      <c r="EY254" s="66"/>
      <c r="EZ254" s="66"/>
      <c r="FA254" s="66"/>
      <c r="FB254" s="66"/>
      <c r="FC254" s="66"/>
      <c r="FD254" s="66"/>
      <c r="FE254" s="66"/>
      <c r="FF254" s="66"/>
      <c r="FG254" s="66"/>
      <c r="FH254" s="66"/>
      <c r="FI254" s="66"/>
      <c r="FJ254" s="66"/>
      <c r="FK254" s="66"/>
      <c r="FL254" s="66"/>
      <c r="FM254" s="66"/>
      <c r="FN254" s="66"/>
      <c r="FO254" s="66"/>
      <c r="FP254" s="66"/>
      <c r="FQ254" s="66"/>
      <c r="FR254" s="66"/>
      <c r="FS254" s="66"/>
      <c r="FT254" s="66"/>
      <c r="FU254" s="66"/>
      <c r="FV254" s="66"/>
      <c r="FW254" s="66"/>
      <c r="FX254" s="66"/>
      <c r="FY254" s="66"/>
      <c r="FZ254" s="66"/>
      <c r="GA254" s="66"/>
      <c r="GB254" s="66"/>
      <c r="GC254" s="66"/>
      <c r="GD254" s="66"/>
      <c r="GE254" s="66"/>
      <c r="GF254" s="66"/>
      <c r="GG254" s="66"/>
      <c r="GH254" s="66"/>
      <c r="GI254" s="66"/>
      <c r="GJ254" s="66"/>
      <c r="GK254" s="66"/>
      <c r="GL254" s="66"/>
      <c r="GM254" s="66"/>
      <c r="GN254" s="66"/>
      <c r="GO254" s="66"/>
      <c r="GP254" s="66"/>
      <c r="GQ254" s="66"/>
      <c r="GR254" s="66"/>
      <c r="GS254" s="66"/>
      <c r="GT254" s="66"/>
      <c r="GU254" s="66"/>
      <c r="GV254" s="66"/>
      <c r="GW254" s="66"/>
      <c r="GX254" s="66"/>
      <c r="GY254" s="66"/>
      <c r="GZ254" s="66"/>
      <c r="HA254" s="66"/>
      <c r="HB254" s="66"/>
      <c r="HC254" s="66"/>
      <c r="HD254" s="66"/>
      <c r="HE254" s="66"/>
      <c r="HF254" s="66"/>
      <c r="HG254" s="66"/>
      <c r="HH254" s="66"/>
      <c r="HI254" s="66"/>
      <c r="HJ254" s="66"/>
      <c r="HK254" s="66"/>
      <c r="HL254" s="66"/>
      <c r="HM254" s="66"/>
      <c r="HN254" s="66"/>
      <c r="HO254" s="66"/>
      <c r="HP254" s="66"/>
      <c r="HQ254" s="66"/>
      <c r="HR254" s="66"/>
      <c r="HS254" s="66"/>
      <c r="HT254" s="66"/>
      <c r="HU254" s="66"/>
      <c r="HV254" s="66"/>
      <c r="HW254" s="66"/>
      <c r="HX254" s="66"/>
      <c r="HY254" s="66"/>
      <c r="HZ254" s="66"/>
      <c r="IA254" s="66"/>
      <c r="IB254" s="66"/>
      <c r="IC254" s="66"/>
      <c r="ID254" s="66"/>
      <c r="IE254" s="66"/>
      <c r="IF254" s="66"/>
      <c r="IG254" s="66"/>
      <c r="IH254" s="66"/>
      <c r="II254" s="66"/>
      <c r="IJ254" s="66"/>
      <c r="IK254" s="66"/>
      <c r="IL254" s="66"/>
      <c r="IM254" s="66"/>
      <c r="IN254" s="66"/>
      <c r="IO254" s="66"/>
      <c r="IP254" s="66"/>
      <c r="IQ254" s="66"/>
      <c r="IR254" s="66"/>
      <c r="IS254" s="66"/>
      <c r="IT254" s="66"/>
      <c r="IU254" s="66"/>
      <c r="IV254" s="66"/>
      <c r="IW254" s="66"/>
      <c r="IX254" s="66"/>
      <c r="IY254" s="66"/>
      <c r="IZ254" s="66"/>
      <c r="JA254" s="66"/>
      <c r="JB254" s="66"/>
      <c r="JC254" s="66"/>
      <c r="JD254" s="66"/>
      <c r="JE254" s="66"/>
      <c r="JF254" s="66"/>
      <c r="JG254" s="66"/>
      <c r="JH254" s="66"/>
      <c r="JI254" s="66"/>
      <c r="JJ254" s="66"/>
      <c r="JK254" s="66"/>
      <c r="JL254" s="66"/>
      <c r="JM254" s="66"/>
      <c r="JN254" s="66"/>
      <c r="JO254" s="66"/>
      <c r="JP254" s="66"/>
      <c r="JQ254" s="66"/>
      <c r="JR254" s="66"/>
      <c r="JS254" s="66"/>
      <c r="JT254" s="66"/>
      <c r="JU254" s="66"/>
      <c r="JV254" s="66"/>
      <c r="JW254" s="66"/>
      <c r="JX254" s="66"/>
      <c r="JY254" s="66"/>
      <c r="JZ254" s="66"/>
      <c r="KA254" s="66"/>
      <c r="KB254" s="66"/>
      <c r="KC254" s="66"/>
      <c r="KD254" s="66"/>
      <c r="KE254" s="66"/>
      <c r="KF254" s="66"/>
      <c r="KG254" s="66"/>
      <c r="KH254" s="66"/>
      <c r="KI254" s="66"/>
      <c r="KJ254" s="66"/>
      <c r="KK254" s="66"/>
      <c r="KL254" s="66"/>
      <c r="KM254" s="66"/>
      <c r="KN254" s="66"/>
      <c r="KO254" s="66"/>
      <c r="KP254" s="66"/>
      <c r="KQ254" s="66"/>
      <c r="KR254" s="66"/>
      <c r="KS254" s="66"/>
      <c r="KT254" s="66"/>
      <c r="KU254" s="66"/>
      <c r="KV254" s="66"/>
      <c r="KW254" s="66"/>
      <c r="KX254" s="66"/>
      <c r="KY254" s="66"/>
      <c r="KZ254" s="66"/>
      <c r="LA254" s="66"/>
      <c r="LB254" s="66"/>
      <c r="LC254" s="66"/>
      <c r="LD254" s="66"/>
      <c r="LE254" s="66"/>
      <c r="LF254" s="66"/>
      <c r="LG254" s="66"/>
      <c r="LH254" s="66"/>
      <c r="LI254" s="66"/>
      <c r="LJ254" s="66"/>
      <c r="LK254" s="66"/>
      <c r="LL254" s="66"/>
      <c r="LM254" s="66"/>
      <c r="LN254" s="66"/>
      <c r="LO254" s="66"/>
      <c r="LP254" s="66"/>
      <c r="LQ254" s="66"/>
      <c r="LR254" s="66"/>
      <c r="LS254" s="66"/>
      <c r="LT254" s="66"/>
      <c r="LU254" s="66"/>
      <c r="LV254" s="66"/>
      <c r="LW254" s="66"/>
      <c r="LX254" s="66"/>
      <c r="LY254" s="66"/>
      <c r="LZ254" s="66"/>
      <c r="MA254" s="66"/>
      <c r="MB254" s="66"/>
      <c r="MC254" s="66"/>
      <c r="MD254" s="66"/>
      <c r="ME254" s="66"/>
      <c r="MF254" s="66"/>
      <c r="MG254" s="66"/>
      <c r="MH254" s="66"/>
      <c r="MI254" s="66"/>
      <c r="MJ254" s="66"/>
      <c r="MK254" s="66"/>
      <c r="ML254" s="66"/>
      <c r="MM254" s="66"/>
      <c r="MN254" s="66"/>
      <c r="MO254" s="66"/>
      <c r="MP254" s="66"/>
      <c r="MQ254" s="66"/>
      <c r="MR254" s="66"/>
      <c r="MS254" s="66"/>
      <c r="MT254" s="66"/>
      <c r="MU254" s="66"/>
      <c r="MV254" s="66"/>
      <c r="MW254" s="66"/>
      <c r="MX254" s="66"/>
      <c r="MY254" s="66"/>
      <c r="MZ254" s="66"/>
      <c r="NA254" s="66"/>
      <c r="NB254" s="66"/>
      <c r="NC254" s="66"/>
      <c r="ND254" s="66"/>
      <c r="NE254" s="66"/>
      <c r="NF254" s="66"/>
      <c r="NG254" s="66"/>
      <c r="NH254" s="66"/>
      <c r="NI254" s="66"/>
      <c r="NJ254" s="66"/>
      <c r="NK254" s="66"/>
      <c r="NL254" s="66"/>
      <c r="NM254" s="66"/>
      <c r="NN254" s="66"/>
      <c r="NO254" s="66"/>
      <c r="NP254" s="66"/>
      <c r="NQ254" s="66"/>
      <c r="NR254" s="66"/>
      <c r="NS254" s="66"/>
      <c r="NT254" s="66"/>
      <c r="NU254" s="66"/>
      <c r="NV254" s="66"/>
      <c r="NW254" s="66"/>
      <c r="NX254" s="66"/>
      <c r="NY254" s="66"/>
      <c r="NZ254" s="66"/>
      <c r="OA254" s="66"/>
      <c r="OB254" s="66"/>
      <c r="OC254" s="66"/>
      <c r="OD254" s="66"/>
      <c r="OE254" s="66"/>
      <c r="OF254" s="66"/>
      <c r="OG254" s="66"/>
      <c r="OH254" s="66"/>
      <c r="OI254" s="66"/>
      <c r="OJ254" s="66"/>
      <c r="OK254" s="66"/>
      <c r="OL254" s="66"/>
      <c r="OM254" s="66"/>
      <c r="ON254" s="66"/>
      <c r="OO254" s="66"/>
      <c r="OP254" s="66"/>
      <c r="OQ254" s="66"/>
      <c r="OR254" s="66"/>
      <c r="OS254" s="66"/>
      <c r="OT254" s="66"/>
      <c r="OU254" s="66"/>
      <c r="OV254" s="66"/>
      <c r="OW254" s="66"/>
      <c r="OX254" s="66"/>
      <c r="OY254" s="66"/>
      <c r="OZ254" s="66"/>
      <c r="PA254" s="66"/>
      <c r="PB254" s="66"/>
      <c r="PC254" s="66"/>
      <c r="PD254" s="66"/>
      <c r="PE254" s="66"/>
      <c r="PF254" s="66"/>
      <c r="PG254" s="66"/>
      <c r="PH254" s="66"/>
      <c r="PI254" s="66"/>
      <c r="PJ254" s="66"/>
      <c r="PK254" s="66"/>
      <c r="PL254" s="66"/>
      <c r="PM254" s="66"/>
      <c r="PN254" s="66"/>
      <c r="PO254" s="66"/>
      <c r="PP254" s="66"/>
      <c r="PQ254" s="66"/>
      <c r="PR254" s="66"/>
      <c r="PS254" s="66"/>
      <c r="PT254" s="66"/>
      <c r="PU254" s="66"/>
      <c r="PV254" s="66"/>
      <c r="PW254" s="66"/>
      <c r="PX254" s="66"/>
      <c r="PY254" s="66"/>
      <c r="PZ254" s="66"/>
      <c r="QA254" s="66"/>
      <c r="QB254" s="66"/>
      <c r="QC254" s="66"/>
      <c r="QD254" s="66"/>
      <c r="QE254" s="66"/>
      <c r="QF254" s="66"/>
      <c r="QG254" s="66"/>
      <c r="QH254" s="66"/>
      <c r="QI254" s="66"/>
      <c r="QJ254" s="66"/>
      <c r="QK254" s="66"/>
      <c r="QL254" s="66"/>
      <c r="QM254" s="66"/>
      <c r="QN254" s="66"/>
      <c r="QO254" s="66"/>
      <c r="QP254" s="66"/>
      <c r="QQ254" s="66"/>
      <c r="QR254" s="66"/>
      <c r="QS254" s="66"/>
      <c r="QT254" s="66"/>
      <c r="QU254" s="66"/>
      <c r="QV254" s="66"/>
      <c r="QW254" s="66"/>
      <c r="QX254" s="66"/>
      <c r="QY254" s="66"/>
      <c r="QZ254" s="66"/>
      <c r="RA254" s="66"/>
      <c r="RB254" s="66"/>
      <c r="RC254" s="66"/>
      <c r="RD254" s="66"/>
      <c r="RE254" s="66"/>
      <c r="RF254" s="66"/>
      <c r="RG254" s="66"/>
      <c r="RH254" s="66"/>
      <c r="RI254" s="66"/>
      <c r="RJ254" s="66"/>
      <c r="RK254" s="66"/>
      <c r="RL254" s="66"/>
      <c r="RM254" s="66"/>
      <c r="RN254" s="66"/>
      <c r="RO254" s="66"/>
      <c r="RP254" s="66"/>
      <c r="RQ254" s="66"/>
      <c r="RR254" s="66"/>
      <c r="RS254" s="66"/>
      <c r="RT254" s="66"/>
      <c r="RU254" s="66"/>
      <c r="RV254" s="66"/>
      <c r="RW254" s="66"/>
      <c r="RX254" s="66"/>
      <c r="RY254" s="66"/>
      <c r="RZ254" s="66"/>
      <c r="SA254" s="66"/>
      <c r="SB254" s="66"/>
      <c r="SC254" s="66"/>
      <c r="SD254" s="66"/>
      <c r="SE254" s="66"/>
      <c r="SF254" s="66"/>
      <c r="SG254" s="66"/>
      <c r="SH254" s="66"/>
      <c r="SI254" s="66"/>
      <c r="SJ254" s="66"/>
      <c r="SK254" s="66"/>
      <c r="SL254" s="66"/>
      <c r="SM254" s="66"/>
      <c r="SN254" s="66"/>
      <c r="SO254" s="66"/>
      <c r="SP254" s="66"/>
      <c r="SQ254" s="66"/>
      <c r="SR254" s="66"/>
      <c r="SS254" s="66"/>
      <c r="ST254" s="66"/>
      <c r="SU254" s="66"/>
      <c r="SV254" s="66"/>
      <c r="SW254" s="66"/>
      <c r="SX254" s="66"/>
      <c r="SY254" s="66"/>
      <c r="SZ254" s="66"/>
      <c r="TA254" s="66"/>
      <c r="TB254" s="66"/>
      <c r="TC254" s="66"/>
      <c r="TD254" s="66"/>
      <c r="TE254" s="66"/>
      <c r="TF254" s="66"/>
      <c r="TG254" s="66"/>
      <c r="TH254" s="66"/>
      <c r="TI254" s="66"/>
      <c r="TJ254" s="66"/>
      <c r="TK254" s="66"/>
      <c r="TL254" s="66"/>
      <c r="TM254" s="66"/>
      <c r="TN254" s="66"/>
      <c r="TO254" s="66"/>
      <c r="TP254" s="66"/>
      <c r="TQ254" s="66"/>
      <c r="TR254" s="66"/>
      <c r="TS254" s="66"/>
      <c r="TT254" s="66"/>
      <c r="TU254" s="66"/>
      <c r="TV254" s="66"/>
      <c r="TW254" s="66"/>
      <c r="TX254" s="66"/>
      <c r="TY254" s="66"/>
      <c r="TZ254" s="66"/>
      <c r="UA254" s="66"/>
      <c r="UB254" s="66"/>
      <c r="UC254" s="66"/>
      <c r="UD254" s="66"/>
      <c r="UE254" s="66"/>
      <c r="UF254" s="66"/>
      <c r="UG254" s="66"/>
      <c r="UH254" s="66"/>
      <c r="UI254" s="66"/>
      <c r="UJ254" s="66"/>
      <c r="UK254" s="66"/>
      <c r="UL254" s="66"/>
      <c r="UM254" s="66"/>
      <c r="UN254" s="66"/>
      <c r="UO254" s="66"/>
      <c r="UP254" s="66"/>
      <c r="UQ254" s="66"/>
      <c r="UR254" s="66"/>
      <c r="US254" s="66"/>
      <c r="UT254" s="66"/>
      <c r="UU254" s="66"/>
      <c r="UV254" s="66"/>
      <c r="UW254" s="66"/>
      <c r="UX254" s="66"/>
      <c r="UY254" s="66"/>
      <c r="UZ254" s="66"/>
      <c r="VA254" s="66"/>
      <c r="VB254" s="66"/>
      <c r="VC254" s="66"/>
      <c r="VD254" s="66"/>
      <c r="VE254" s="66"/>
      <c r="VF254" s="66"/>
      <c r="VG254" s="66"/>
      <c r="VH254" s="66"/>
      <c r="VI254" s="66"/>
      <c r="VJ254" s="66"/>
      <c r="VK254" s="66"/>
      <c r="VL254" s="66"/>
      <c r="VM254" s="66"/>
      <c r="VN254" s="66"/>
      <c r="VO254" s="66"/>
      <c r="VP254" s="66"/>
      <c r="VQ254" s="66"/>
      <c r="VR254" s="66"/>
      <c r="VS254" s="66"/>
      <c r="VT254" s="66"/>
      <c r="VU254" s="66"/>
      <c r="VV254" s="66"/>
      <c r="VW254" s="66"/>
      <c r="VX254" s="66"/>
      <c r="VY254" s="66"/>
      <c r="VZ254" s="66"/>
      <c r="WA254" s="66"/>
      <c r="WB254" s="66"/>
      <c r="WC254" s="66"/>
      <c r="WD254" s="66"/>
      <c r="WE254" s="66"/>
      <c r="WF254" s="66"/>
      <c r="WG254" s="66"/>
      <c r="WH254" s="66"/>
      <c r="WI254" s="66"/>
      <c r="WJ254" s="66"/>
      <c r="WK254" s="66"/>
      <c r="WL254" s="66"/>
      <c r="WM254" s="66"/>
      <c r="WN254" s="66"/>
      <c r="WO254" s="66"/>
      <c r="WP254" s="66"/>
      <c r="WQ254" s="66"/>
      <c r="WR254" s="66"/>
      <c r="WS254" s="66"/>
      <c r="WT254" s="66"/>
      <c r="WU254" s="66"/>
      <c r="WV254" s="66"/>
      <c r="WW254" s="66"/>
      <c r="WX254" s="66"/>
      <c r="WY254" s="66"/>
      <c r="WZ254" s="66"/>
      <c r="XA254" s="66"/>
      <c r="XB254" s="66"/>
      <c r="XC254" s="66"/>
      <c r="XD254" s="66"/>
      <c r="XE254" s="66"/>
      <c r="XF254" s="66"/>
      <c r="XG254" s="66"/>
      <c r="XH254" s="66"/>
      <c r="XI254" s="66"/>
      <c r="XJ254" s="66"/>
      <c r="XK254" s="66"/>
      <c r="XL254" s="66"/>
      <c r="XM254" s="66"/>
      <c r="XN254" s="66"/>
      <c r="XO254" s="66"/>
      <c r="XP254" s="66"/>
      <c r="XQ254" s="66"/>
      <c r="XR254" s="66"/>
      <c r="XS254" s="66"/>
      <c r="XT254" s="66"/>
      <c r="XU254" s="66"/>
      <c r="XV254" s="66"/>
      <c r="XW254" s="66"/>
      <c r="XX254" s="66"/>
      <c r="XY254" s="66"/>
      <c r="XZ254" s="66"/>
      <c r="YA254" s="66"/>
      <c r="YB254" s="66"/>
      <c r="YC254" s="66"/>
      <c r="YD254" s="66"/>
      <c r="YE254" s="66"/>
      <c r="YF254" s="66"/>
      <c r="YG254" s="66"/>
      <c r="YH254" s="66"/>
      <c r="YI254" s="66"/>
      <c r="YJ254" s="66"/>
      <c r="YK254" s="66"/>
      <c r="YL254" s="66"/>
      <c r="YM254" s="66"/>
      <c r="YN254" s="66"/>
      <c r="YO254" s="66"/>
      <c r="YP254" s="66"/>
      <c r="YQ254" s="66"/>
      <c r="YR254" s="66"/>
      <c r="YS254" s="66"/>
      <c r="YT254" s="66"/>
      <c r="YU254" s="66"/>
      <c r="YV254" s="66"/>
      <c r="YW254" s="66"/>
      <c r="YX254" s="66"/>
      <c r="YY254" s="66"/>
      <c r="YZ254" s="66"/>
      <c r="ZA254" s="66"/>
      <c r="ZB254" s="66"/>
      <c r="ZC254" s="66"/>
      <c r="ZD254" s="66"/>
      <c r="ZE254" s="66"/>
      <c r="ZF254" s="66"/>
      <c r="ZG254" s="66"/>
      <c r="ZH254" s="66"/>
      <c r="ZI254" s="66"/>
      <c r="ZJ254" s="66"/>
      <c r="ZK254" s="66"/>
      <c r="ZL254" s="66"/>
      <c r="ZM254" s="66"/>
      <c r="ZN254" s="66"/>
      <c r="ZO254" s="66"/>
      <c r="ZP254" s="66"/>
      <c r="ZQ254" s="66"/>
      <c r="ZR254" s="66"/>
      <c r="ZS254" s="66"/>
      <c r="ZT254" s="66"/>
      <c r="ZU254" s="66"/>
      <c r="ZV254" s="66"/>
      <c r="ZW254" s="66"/>
      <c r="ZX254" s="66"/>
      <c r="ZY254" s="66"/>
      <c r="ZZ254" s="66"/>
      <c r="AAA254" s="66"/>
      <c r="AAB254" s="66"/>
      <c r="AAC254" s="66"/>
      <c r="AAD254" s="66"/>
      <c r="AAE254" s="66"/>
      <c r="AAF254" s="66"/>
      <c r="AAG254" s="66"/>
      <c r="AAH254" s="66"/>
      <c r="AAI254" s="66"/>
      <c r="AAJ254" s="66"/>
      <c r="AAK254" s="66"/>
      <c r="AAL254" s="66"/>
      <c r="AAM254" s="66"/>
      <c r="AAN254" s="66"/>
      <c r="AAO254" s="66"/>
      <c r="AAP254" s="66"/>
      <c r="AAQ254" s="66"/>
      <c r="AAR254" s="66"/>
      <c r="AAS254" s="66"/>
      <c r="AAT254" s="66"/>
      <c r="AAU254" s="66"/>
      <c r="AAV254" s="66"/>
      <c r="AAW254" s="66"/>
      <c r="AAX254" s="66"/>
      <c r="AAY254" s="66"/>
      <c r="AAZ254" s="66"/>
      <c r="ABA254" s="66"/>
      <c r="ABB254" s="66"/>
      <c r="ABC254" s="66"/>
      <c r="ABD254" s="66"/>
      <c r="ABE254" s="66"/>
      <c r="ABF254" s="66"/>
      <c r="ABG254" s="66"/>
      <c r="ABH254" s="66"/>
      <c r="ABI254" s="66"/>
      <c r="ABJ254" s="66"/>
      <c r="ABK254" s="66"/>
      <c r="ABL254" s="66"/>
      <c r="ABM254" s="66"/>
      <c r="ABN254" s="66"/>
      <c r="ABO254" s="66"/>
      <c r="ABP254" s="66"/>
      <c r="ABQ254" s="66"/>
      <c r="ABR254" s="66"/>
      <c r="ABS254" s="66"/>
      <c r="ABT254" s="66"/>
      <c r="ABU254" s="66"/>
      <c r="ABV254" s="66"/>
      <c r="ABW254" s="66"/>
      <c r="ABX254" s="66"/>
      <c r="ABY254" s="66"/>
      <c r="ABZ254" s="66"/>
      <c r="ACA254" s="66"/>
      <c r="ACB254" s="66"/>
      <c r="ACC254" s="66"/>
      <c r="ACD254" s="66"/>
      <c r="ACE254" s="66"/>
      <c r="ACF254" s="66"/>
      <c r="ACG254" s="66"/>
      <c r="ACH254" s="66"/>
      <c r="ACI254" s="66"/>
      <c r="ACJ254" s="66"/>
      <c r="ACK254" s="66"/>
      <c r="ACL254" s="66"/>
      <c r="ACM254" s="66"/>
      <c r="ACN254" s="66"/>
      <c r="ACO254" s="66"/>
      <c r="ACP254" s="66"/>
      <c r="ACQ254" s="66"/>
      <c r="ACR254" s="66"/>
      <c r="ACS254" s="66"/>
      <c r="ACT254" s="66"/>
      <c r="ACU254" s="66"/>
      <c r="ACV254" s="66"/>
      <c r="ACW254" s="66"/>
      <c r="ACX254" s="66"/>
      <c r="ACY254" s="66"/>
      <c r="ACZ254" s="66"/>
      <c r="ADA254" s="66"/>
      <c r="ADB254" s="66"/>
      <c r="ADC254" s="66"/>
      <c r="ADD254" s="66"/>
      <c r="ADE254" s="66"/>
      <c r="ADF254" s="66"/>
      <c r="ADG254" s="66"/>
      <c r="ADH254" s="66"/>
      <c r="ADI254" s="66"/>
      <c r="ADJ254" s="66"/>
      <c r="ADK254" s="66"/>
      <c r="ADL254" s="66"/>
      <c r="ADM254" s="66"/>
      <c r="ADN254" s="66"/>
      <c r="ADO254" s="66"/>
      <c r="ADP254" s="66"/>
      <c r="ADQ254" s="66"/>
      <c r="ADR254" s="66"/>
      <c r="ADS254" s="66"/>
      <c r="ADT254" s="66"/>
      <c r="ADU254" s="66"/>
      <c r="ADV254" s="66"/>
      <c r="ADW254" s="66"/>
      <c r="ADX254" s="66"/>
      <c r="ADY254" s="66"/>
      <c r="ADZ254" s="66"/>
      <c r="AEA254" s="66"/>
      <c r="AEB254" s="66"/>
      <c r="AEC254" s="66"/>
      <c r="AED254" s="66"/>
      <c r="AEE254" s="66"/>
      <c r="AEF254" s="66"/>
      <c r="AEG254" s="66"/>
      <c r="AEH254" s="66"/>
      <c r="AEI254" s="66"/>
      <c r="AEJ254" s="66"/>
      <c r="AEK254" s="66"/>
      <c r="AEL254" s="66"/>
      <c r="AEM254" s="66"/>
      <c r="AEN254" s="66"/>
      <c r="AEO254" s="66"/>
      <c r="AEP254" s="66"/>
      <c r="AEQ254" s="66"/>
      <c r="AER254" s="66"/>
      <c r="AES254" s="66"/>
      <c r="AET254" s="66"/>
      <c r="AEU254" s="66"/>
      <c r="AEV254" s="66"/>
      <c r="AEW254" s="66"/>
      <c r="AEX254" s="66"/>
      <c r="AEY254" s="66"/>
      <c r="AEZ254" s="66"/>
      <c r="AFA254" s="66"/>
      <c r="AFB254" s="66"/>
      <c r="AFC254" s="66"/>
      <c r="AFD254" s="66"/>
      <c r="AFE254" s="66"/>
      <c r="AFF254" s="66"/>
      <c r="AFG254" s="66"/>
      <c r="AFH254" s="66"/>
      <c r="AFI254" s="66"/>
      <c r="AFJ254" s="66"/>
      <c r="AFK254" s="66"/>
      <c r="AFL254" s="66"/>
      <c r="AFM254" s="66"/>
      <c r="AFN254" s="66"/>
      <c r="AFO254" s="66"/>
      <c r="AFP254" s="66"/>
      <c r="AFQ254" s="66"/>
      <c r="AFR254" s="66"/>
      <c r="AFS254" s="66"/>
      <c r="AFT254" s="66"/>
      <c r="AFU254" s="66"/>
      <c r="AFV254" s="66"/>
      <c r="AFW254" s="66"/>
      <c r="AFX254" s="66"/>
      <c r="AFY254" s="66"/>
      <c r="AFZ254" s="66"/>
      <c r="AGA254" s="66"/>
      <c r="AGB254" s="66"/>
      <c r="AGC254" s="66"/>
      <c r="AGD254" s="66"/>
      <c r="AGE254" s="66"/>
      <c r="AGF254" s="66"/>
      <c r="AGG254" s="66"/>
      <c r="AGH254" s="66"/>
      <c r="AGI254" s="66"/>
      <c r="AGJ254" s="66"/>
      <c r="AGK254" s="66"/>
      <c r="AGL254" s="66"/>
      <c r="AGM254" s="66"/>
      <c r="AGN254" s="66"/>
      <c r="AGO254" s="66"/>
      <c r="AGP254" s="66"/>
      <c r="AGQ254" s="66"/>
      <c r="AGR254" s="66"/>
      <c r="AGS254" s="66"/>
      <c r="AGT254" s="66"/>
      <c r="AGU254" s="66"/>
      <c r="AGV254" s="66"/>
      <c r="AGW254" s="66"/>
      <c r="AGX254" s="66"/>
      <c r="AGY254" s="66"/>
      <c r="AGZ254" s="66"/>
      <c r="AHA254" s="66"/>
      <c r="AHB254" s="66"/>
      <c r="AHC254" s="66"/>
      <c r="AHD254" s="66"/>
      <c r="AHE254" s="66"/>
      <c r="AHF254" s="66"/>
      <c r="AHG254" s="66"/>
      <c r="AHH254" s="66"/>
      <c r="AHI254" s="66"/>
      <c r="AHJ254" s="66"/>
      <c r="AHK254" s="66"/>
      <c r="AHL254" s="66"/>
      <c r="AHM254" s="66"/>
      <c r="AHN254" s="66"/>
      <c r="AHO254" s="66"/>
      <c r="AHP254" s="66"/>
      <c r="AHQ254" s="66"/>
      <c r="AHR254" s="66"/>
      <c r="AHS254" s="66"/>
      <c r="AHT254" s="66"/>
      <c r="AHU254" s="66"/>
      <c r="AHV254" s="66"/>
      <c r="AHW254" s="66"/>
      <c r="AHX254" s="66"/>
      <c r="AHY254" s="66"/>
      <c r="AHZ254" s="66"/>
      <c r="AIA254" s="66"/>
      <c r="AIB254" s="66"/>
      <c r="AIC254" s="66"/>
      <c r="AID254" s="66"/>
      <c r="AIE254" s="66"/>
      <c r="AIF254" s="66"/>
      <c r="AIG254" s="66"/>
      <c r="AIH254" s="66"/>
      <c r="AII254" s="66"/>
      <c r="AIJ254" s="66"/>
      <c r="AIK254" s="66"/>
      <c r="AIL254" s="66"/>
      <c r="AIM254" s="66"/>
      <c r="AIN254" s="66"/>
      <c r="AIO254" s="66"/>
      <c r="AIP254" s="66"/>
      <c r="AIQ254" s="66"/>
      <c r="AIR254" s="66"/>
      <c r="AIS254" s="66"/>
      <c r="AIT254" s="66"/>
      <c r="AIU254" s="66"/>
      <c r="AIV254" s="66"/>
      <c r="AIW254" s="66"/>
      <c r="AIX254" s="66"/>
      <c r="AIY254" s="66"/>
      <c r="AIZ254" s="66"/>
      <c r="AJA254" s="66"/>
      <c r="AJB254" s="66"/>
      <c r="AJC254" s="66"/>
      <c r="AJD254" s="66"/>
      <c r="AJE254" s="66"/>
      <c r="AJF254" s="66"/>
      <c r="AJG254" s="66"/>
      <c r="AJH254" s="66"/>
      <c r="AJI254" s="66"/>
      <c r="AJJ254" s="66"/>
      <c r="AJK254" s="66"/>
      <c r="AJL254" s="66"/>
      <c r="AJM254" s="66"/>
      <c r="AJN254" s="66"/>
      <c r="AJO254" s="66"/>
      <c r="AJP254" s="66"/>
      <c r="AJQ254" s="66"/>
      <c r="AJR254" s="66"/>
      <c r="AJS254" s="66"/>
      <c r="AJT254" s="66"/>
      <c r="AJU254" s="66"/>
      <c r="AJV254" s="66"/>
      <c r="AJW254" s="66"/>
      <c r="AJX254" s="66"/>
      <c r="AJY254" s="66"/>
      <c r="AJZ254" s="66"/>
      <c r="AKA254" s="66"/>
      <c r="AKB254" s="66"/>
      <c r="AKC254" s="66"/>
      <c r="AKD254" s="66"/>
      <c r="AKE254" s="66"/>
      <c r="AKF254" s="66"/>
      <c r="AKG254" s="66"/>
      <c r="AKH254" s="66"/>
      <c r="AKI254" s="66"/>
      <c r="AKJ254" s="66"/>
      <c r="AKK254" s="66"/>
      <c r="AKL254" s="66"/>
      <c r="AKM254" s="66"/>
      <c r="AKN254" s="66"/>
      <c r="AKO254" s="66"/>
      <c r="AKP254" s="66"/>
      <c r="AKQ254" s="66"/>
      <c r="AKR254" s="66"/>
      <c r="AKS254" s="66"/>
      <c r="AKT254" s="66"/>
      <c r="AKU254" s="66"/>
      <c r="AKV254" s="66"/>
      <c r="AKW254" s="66"/>
      <c r="AKX254" s="66"/>
      <c r="AKY254" s="66"/>
      <c r="AKZ254" s="66"/>
      <c r="ALA254" s="66"/>
      <c r="ALB254" s="66"/>
      <c r="ALC254" s="66"/>
      <c r="ALD254" s="66"/>
      <c r="ALE254" s="66"/>
      <c r="ALF254" s="66"/>
      <c r="ALG254" s="66"/>
      <c r="ALH254" s="66"/>
      <c r="ALI254" s="66"/>
      <c r="ALJ254" s="66"/>
      <c r="ALK254" s="66"/>
      <c r="ALL254" s="66"/>
      <c r="ALM254" s="66"/>
      <c r="ALN254" s="66"/>
      <c r="ALO254" s="66"/>
      <c r="ALP254" s="66"/>
      <c r="ALQ254" s="66"/>
      <c r="ALR254" s="66"/>
      <c r="ALS254" s="66"/>
      <c r="ALT254" s="66"/>
      <c r="ALU254" s="66"/>
      <c r="ALV254" s="66"/>
      <c r="ALW254" s="66"/>
      <c r="ALX254" s="66"/>
      <c r="ALY254" s="66"/>
      <c r="ALZ254" s="66"/>
      <c r="AMA254" s="66"/>
      <c r="AMB254" s="66"/>
      <c r="AMC254" s="66"/>
      <c r="AMD254" s="66"/>
      <c r="AME254" s="66"/>
      <c r="AMF254" s="66"/>
      <c r="AMG254" s="66"/>
      <c r="AMH254" s="66"/>
      <c r="AMI254" s="66"/>
      <c r="AMJ254" s="66"/>
      <c r="AMK254" s="66"/>
      <c r="AML254" s="66"/>
      <c r="AMM254" s="66"/>
      <c r="AMN254" s="66"/>
      <c r="AMO254" s="66"/>
      <c r="AMP254" s="66"/>
      <c r="AMQ254" s="66"/>
      <c r="AMR254" s="66"/>
      <c r="AMS254" s="66"/>
      <c r="AMT254" s="66"/>
      <c r="AMU254" s="66"/>
      <c r="AMV254" s="66"/>
      <c r="AMW254" s="66"/>
      <c r="AMX254" s="66"/>
      <c r="AMY254" s="66"/>
      <c r="AMZ254" s="66"/>
      <c r="ANA254" s="66"/>
      <c r="ANB254" s="66"/>
      <c r="ANC254" s="66"/>
      <c r="AND254" s="66"/>
      <c r="ANE254" s="66"/>
      <c r="ANF254" s="66"/>
      <c r="ANG254" s="66"/>
      <c r="ANH254" s="66"/>
      <c r="ANI254" s="66"/>
      <c r="ANJ254" s="66"/>
      <c r="ANK254" s="66"/>
      <c r="ANL254" s="66"/>
      <c r="ANM254" s="66"/>
      <c r="ANN254" s="66"/>
      <c r="ANO254" s="66"/>
      <c r="ANP254" s="66"/>
      <c r="ANQ254" s="66"/>
      <c r="ANR254" s="66"/>
      <c r="ANS254" s="66"/>
      <c r="ANT254" s="66"/>
      <c r="ANU254" s="66"/>
      <c r="ANV254" s="66"/>
      <c r="ANW254" s="66"/>
      <c r="ANX254" s="66"/>
      <c r="ANY254" s="66"/>
      <c r="ANZ254" s="66"/>
      <c r="AOA254" s="66"/>
      <c r="AOB254" s="66"/>
      <c r="AOC254" s="66"/>
      <c r="AOD254" s="66"/>
      <c r="AOE254" s="66"/>
      <c r="AOF254" s="66"/>
      <c r="AOG254" s="66"/>
      <c r="AOH254" s="66"/>
      <c r="AOI254" s="66"/>
      <c r="AOJ254" s="66"/>
      <c r="AOK254" s="66"/>
      <c r="AOL254" s="66"/>
      <c r="AOM254" s="66"/>
      <c r="AON254" s="66"/>
      <c r="AOO254" s="66"/>
      <c r="AOP254" s="66"/>
      <c r="AOQ254" s="66"/>
      <c r="AOR254" s="66"/>
      <c r="AOS254" s="66"/>
      <c r="AOT254" s="66"/>
      <c r="AOU254" s="66"/>
      <c r="AOV254" s="66"/>
      <c r="AOW254" s="66"/>
      <c r="AOX254" s="66"/>
      <c r="AOY254" s="66"/>
      <c r="AOZ254" s="66"/>
      <c r="APA254" s="66"/>
      <c r="APB254" s="66"/>
      <c r="APC254" s="66"/>
      <c r="APD254" s="66"/>
      <c r="APE254" s="66"/>
      <c r="APF254" s="66"/>
      <c r="APG254" s="66"/>
      <c r="APH254" s="66"/>
      <c r="API254" s="66"/>
      <c r="APJ254" s="66"/>
      <c r="APK254" s="66"/>
      <c r="APL254" s="66"/>
      <c r="APM254" s="66"/>
      <c r="APN254" s="66"/>
      <c r="APO254" s="66"/>
      <c r="APP254" s="66"/>
      <c r="APQ254" s="66"/>
      <c r="APR254" s="66"/>
      <c r="APS254" s="66"/>
      <c r="APT254" s="66"/>
      <c r="APU254" s="66"/>
      <c r="APV254" s="66"/>
      <c r="APW254" s="66"/>
      <c r="APX254" s="66"/>
      <c r="APY254" s="66"/>
      <c r="APZ254" s="66"/>
      <c r="AQA254" s="66"/>
      <c r="AQB254" s="66"/>
      <c r="AQC254" s="66"/>
      <c r="AQD254" s="66"/>
      <c r="AQE254" s="66"/>
      <c r="AQF254" s="66"/>
      <c r="AQG254" s="66"/>
      <c r="AQH254" s="66"/>
      <c r="AQI254" s="66"/>
      <c r="AQJ254" s="66"/>
      <c r="AQK254" s="66"/>
      <c r="AQL254" s="66"/>
      <c r="AQM254" s="66"/>
      <c r="AQN254" s="66"/>
      <c r="AQO254" s="66"/>
      <c r="AQP254" s="66"/>
      <c r="AQQ254" s="66"/>
      <c r="AQR254" s="66"/>
      <c r="AQS254" s="66"/>
      <c r="AQT254" s="66"/>
      <c r="AQU254" s="66"/>
      <c r="AQV254" s="66"/>
      <c r="AQW254" s="66"/>
      <c r="AQX254" s="66"/>
      <c r="AQY254" s="66"/>
      <c r="AQZ254" s="66"/>
      <c r="ARA254" s="66"/>
      <c r="ARB254" s="66"/>
      <c r="ARC254" s="66"/>
      <c r="ARD254" s="66"/>
      <c r="ARE254" s="66"/>
      <c r="ARF254" s="66"/>
      <c r="ARG254" s="66"/>
      <c r="ARH254" s="66"/>
      <c r="ARI254" s="66"/>
      <c r="ARJ254" s="66"/>
      <c r="ARK254" s="66"/>
      <c r="ARL254" s="66"/>
      <c r="ARM254" s="66"/>
      <c r="ARN254" s="66"/>
      <c r="ARO254" s="66"/>
      <c r="ARP254" s="66"/>
      <c r="ARQ254" s="66"/>
      <c r="ARR254" s="66"/>
      <c r="ARS254" s="66"/>
      <c r="ART254" s="66"/>
      <c r="ARU254" s="66"/>
      <c r="ARV254" s="66"/>
      <c r="ARW254" s="66"/>
      <c r="ARX254" s="66"/>
      <c r="ARY254" s="66"/>
      <c r="ARZ254" s="66"/>
      <c r="ASA254" s="66"/>
      <c r="ASB254" s="66"/>
      <c r="ASC254" s="66"/>
      <c r="ASD254" s="66"/>
      <c r="ASE254" s="66"/>
      <c r="ASF254" s="66"/>
      <c r="ASG254" s="66"/>
      <c r="ASH254" s="66"/>
      <c r="ASI254" s="66"/>
      <c r="ASJ254" s="66"/>
      <c r="ASK254" s="66"/>
      <c r="ASL254" s="66"/>
      <c r="ASM254" s="66"/>
      <c r="ASN254" s="66"/>
      <c r="ASO254" s="66"/>
      <c r="ASP254" s="66"/>
      <c r="ASQ254" s="66"/>
      <c r="ASR254" s="66"/>
      <c r="ASS254" s="66"/>
      <c r="AST254" s="66"/>
      <c r="ASU254" s="66"/>
      <c r="ASV254" s="66"/>
      <c r="ASW254" s="66"/>
      <c r="ASX254" s="66"/>
      <c r="ASY254" s="66"/>
      <c r="ASZ254" s="66"/>
      <c r="ATA254" s="66"/>
      <c r="ATB254" s="66"/>
      <c r="ATC254" s="66"/>
      <c r="ATD254" s="66"/>
      <c r="ATE254" s="66"/>
      <c r="ATF254" s="66"/>
      <c r="ATG254" s="66"/>
      <c r="ATH254" s="66"/>
      <c r="ATI254" s="66"/>
      <c r="ATJ254" s="66"/>
      <c r="ATK254" s="66"/>
      <c r="ATL254" s="66"/>
      <c r="ATM254" s="66"/>
      <c r="ATN254" s="66"/>
      <c r="ATO254" s="66"/>
      <c r="ATP254" s="66"/>
      <c r="ATQ254" s="66"/>
      <c r="ATR254" s="66"/>
      <c r="ATS254" s="66"/>
      <c r="ATT254" s="66"/>
      <c r="ATU254" s="66"/>
      <c r="ATV254" s="66"/>
      <c r="ATW254" s="66"/>
      <c r="ATX254" s="66"/>
      <c r="ATY254" s="66"/>
      <c r="ATZ254" s="66"/>
      <c r="AUA254" s="66"/>
      <c r="AUB254" s="66"/>
      <c r="AUC254" s="66"/>
      <c r="AUD254" s="66"/>
      <c r="AUE254" s="66"/>
      <c r="AUF254" s="66"/>
      <c r="AUG254" s="66"/>
      <c r="AUH254" s="66"/>
      <c r="AUI254" s="66"/>
      <c r="AUJ254" s="66"/>
      <c r="AUK254" s="66"/>
      <c r="AUL254" s="66"/>
      <c r="AUM254" s="66"/>
      <c r="AUN254" s="66"/>
      <c r="AUO254" s="66"/>
      <c r="AUP254" s="66"/>
      <c r="AUQ254" s="66"/>
      <c r="AUR254" s="66"/>
      <c r="AUS254" s="66"/>
      <c r="AUT254" s="66"/>
      <c r="AUU254" s="66"/>
      <c r="AUV254" s="66"/>
      <c r="AUW254" s="66"/>
      <c r="AUX254" s="66"/>
      <c r="AUY254" s="66"/>
      <c r="AUZ254" s="66"/>
      <c r="AVA254" s="66"/>
      <c r="AVB254" s="66"/>
      <c r="AVC254" s="66"/>
      <c r="AVD254" s="66"/>
      <c r="AVE254" s="66"/>
      <c r="AVF254" s="66"/>
      <c r="AVG254" s="66"/>
      <c r="AVH254" s="66"/>
      <c r="AVI254" s="66"/>
      <c r="AVJ254" s="66"/>
      <c r="AVK254" s="66"/>
      <c r="AVL254" s="66"/>
      <c r="AVM254" s="66"/>
      <c r="AVN254" s="66"/>
      <c r="AVO254" s="66"/>
      <c r="AVP254" s="66"/>
      <c r="AVQ254" s="66"/>
      <c r="AVR254" s="66"/>
      <c r="AVS254" s="66"/>
      <c r="AVT254" s="66"/>
      <c r="AVU254" s="66"/>
      <c r="AVV254" s="66"/>
      <c r="AVW254" s="66"/>
      <c r="AVX254" s="66"/>
      <c r="AVY254" s="66"/>
      <c r="AVZ254" s="66"/>
      <c r="AWA254" s="66"/>
      <c r="AWB254" s="66"/>
      <c r="AWC254" s="66"/>
      <c r="AWD254" s="66"/>
      <c r="AWE254" s="66"/>
      <c r="AWF254" s="66"/>
      <c r="AWG254" s="66"/>
      <c r="AWH254" s="66"/>
      <c r="AWI254" s="66"/>
      <c r="AWJ254" s="66"/>
      <c r="AWK254" s="66"/>
      <c r="AWL254" s="66"/>
      <c r="AWM254" s="66"/>
      <c r="AWN254" s="66"/>
      <c r="AWO254" s="66"/>
      <c r="AWP254" s="66"/>
      <c r="AWQ254" s="66"/>
      <c r="AWR254" s="66"/>
      <c r="AWS254" s="66"/>
      <c r="AWT254" s="66"/>
      <c r="AWU254" s="66"/>
      <c r="AWV254" s="66"/>
      <c r="AWW254" s="66"/>
      <c r="AWX254" s="66"/>
      <c r="AWY254" s="66"/>
      <c r="AWZ254" s="66"/>
      <c r="AXA254" s="66"/>
      <c r="AXB254" s="66"/>
      <c r="AXC254" s="66"/>
      <c r="AXD254" s="66"/>
      <c r="AXE254" s="66"/>
      <c r="AXF254" s="66"/>
      <c r="AXG254" s="66"/>
      <c r="AXH254" s="66"/>
      <c r="AXI254" s="66"/>
      <c r="AXJ254" s="66"/>
      <c r="AXK254" s="66"/>
      <c r="AXL254" s="66"/>
      <c r="AXM254" s="66"/>
      <c r="AXN254" s="66"/>
      <c r="AXO254" s="66"/>
      <c r="AXP254" s="66"/>
      <c r="AXQ254" s="66"/>
      <c r="AXR254" s="66"/>
      <c r="AXS254" s="66"/>
      <c r="AXT254" s="66"/>
      <c r="AXU254" s="66"/>
      <c r="AXV254" s="66"/>
      <c r="AXW254" s="66"/>
      <c r="AXX254" s="66"/>
      <c r="AXY254" s="66"/>
      <c r="AXZ254" s="66"/>
      <c r="AYA254" s="66"/>
      <c r="AYB254" s="66"/>
      <c r="AYC254" s="66"/>
      <c r="AYD254" s="66"/>
      <c r="AYE254" s="66"/>
      <c r="AYF254" s="66"/>
      <c r="AYG254" s="66"/>
      <c r="AYH254" s="66"/>
      <c r="AYI254" s="66"/>
      <c r="AYJ254" s="66"/>
      <c r="AYK254" s="66"/>
      <c r="AYL254" s="66"/>
      <c r="AYM254" s="66"/>
      <c r="AYN254" s="66"/>
      <c r="AYO254" s="66"/>
      <c r="AYP254" s="66"/>
      <c r="AYQ254" s="66"/>
      <c r="AYR254" s="66"/>
      <c r="AYS254" s="66"/>
      <c r="AYT254" s="66"/>
      <c r="AYU254" s="66"/>
      <c r="AYV254" s="66"/>
      <c r="AYW254" s="66"/>
      <c r="AYX254" s="66"/>
      <c r="AYY254" s="66"/>
      <c r="AYZ254" s="66"/>
      <c r="AZA254" s="66"/>
      <c r="AZB254" s="66"/>
      <c r="AZC254" s="66"/>
      <c r="AZD254" s="66"/>
      <c r="AZE254" s="66"/>
      <c r="AZF254" s="66"/>
      <c r="AZG254" s="66"/>
      <c r="AZH254" s="66"/>
      <c r="AZI254" s="66"/>
      <c r="AZJ254" s="66"/>
      <c r="AZK254" s="66"/>
      <c r="AZL254" s="66"/>
      <c r="AZM254" s="66"/>
      <c r="AZN254" s="66"/>
      <c r="AZO254" s="66"/>
      <c r="AZP254" s="66"/>
      <c r="AZQ254" s="66"/>
      <c r="AZR254" s="66"/>
      <c r="AZS254" s="66"/>
      <c r="AZT254" s="66"/>
      <c r="AZU254" s="66"/>
      <c r="AZV254" s="66"/>
      <c r="AZW254" s="66"/>
      <c r="AZX254" s="66"/>
      <c r="AZY254" s="66"/>
      <c r="AZZ254" s="66"/>
      <c r="BAA254" s="66"/>
      <c r="BAB254" s="66"/>
      <c r="BAC254" s="66"/>
      <c r="BAD254" s="66"/>
      <c r="BAE254" s="66"/>
      <c r="BAF254" s="66"/>
      <c r="BAG254" s="66"/>
      <c r="BAH254" s="66"/>
      <c r="BAI254" s="66"/>
      <c r="BAJ254" s="66"/>
      <c r="BAK254" s="66"/>
      <c r="BAL254" s="66"/>
      <c r="BAM254" s="66"/>
      <c r="BAN254" s="66"/>
      <c r="BAO254" s="66"/>
      <c r="BAP254" s="66"/>
      <c r="BAQ254" s="66"/>
      <c r="BAR254" s="66"/>
      <c r="BAS254" s="66"/>
      <c r="BAT254" s="66"/>
      <c r="BAU254" s="66"/>
      <c r="BAV254" s="66"/>
      <c r="BAW254" s="66"/>
      <c r="BAX254" s="66"/>
      <c r="BAY254" s="66"/>
      <c r="BAZ254" s="66"/>
      <c r="BBA254" s="66"/>
      <c r="BBB254" s="66"/>
      <c r="BBC254" s="66"/>
      <c r="BBD254" s="66"/>
      <c r="BBE254" s="66"/>
      <c r="BBF254" s="66"/>
      <c r="BBG254" s="66"/>
      <c r="BBH254" s="66"/>
      <c r="BBI254" s="66"/>
      <c r="BBJ254" s="66"/>
      <c r="BBK254" s="66"/>
      <c r="BBL254" s="66"/>
      <c r="BBM254" s="66"/>
      <c r="BBN254" s="66"/>
      <c r="BBO254" s="66"/>
      <c r="BBP254" s="66"/>
      <c r="BBQ254" s="66"/>
      <c r="BBR254" s="66"/>
      <c r="BBS254" s="66"/>
      <c r="BBT254" s="66"/>
      <c r="BBU254" s="66"/>
      <c r="BBV254" s="66"/>
      <c r="BBW254" s="66"/>
      <c r="BBX254" s="66"/>
      <c r="BBY254" s="66"/>
      <c r="BBZ254" s="66"/>
      <c r="BCA254" s="66"/>
      <c r="BCB254" s="66"/>
      <c r="BCC254" s="66"/>
      <c r="BCD254" s="66"/>
      <c r="BCE254" s="66"/>
      <c r="BCF254" s="66"/>
      <c r="BCG254" s="66"/>
      <c r="BCH254" s="66"/>
      <c r="BCI254" s="66"/>
      <c r="BCJ254" s="66"/>
      <c r="BCK254" s="66"/>
      <c r="BCL254" s="66"/>
      <c r="BCM254" s="66"/>
      <c r="BCN254" s="66"/>
      <c r="BCO254" s="66"/>
      <c r="BCP254" s="66"/>
      <c r="BCQ254" s="66"/>
      <c r="BCR254" s="66"/>
      <c r="BCS254" s="66"/>
      <c r="BCT254" s="66"/>
      <c r="BCU254" s="66"/>
      <c r="BCV254" s="66"/>
      <c r="BCW254" s="66"/>
      <c r="BCX254" s="66"/>
      <c r="BCY254" s="66"/>
      <c r="BCZ254" s="66"/>
      <c r="BDA254" s="66"/>
      <c r="BDB254" s="66"/>
      <c r="BDC254" s="66"/>
      <c r="BDD254" s="66"/>
      <c r="BDE254" s="66"/>
      <c r="BDF254" s="66"/>
      <c r="BDG254" s="66"/>
      <c r="BDH254" s="66"/>
      <c r="BDI254" s="66"/>
      <c r="BDJ254" s="66"/>
      <c r="BDK254" s="66"/>
      <c r="BDL254" s="66"/>
      <c r="BDM254" s="66"/>
      <c r="BDN254" s="66"/>
      <c r="BDO254" s="66"/>
      <c r="BDP254" s="66"/>
      <c r="BDQ254" s="66"/>
      <c r="BDR254" s="66"/>
      <c r="BDS254" s="66"/>
      <c r="BDT254" s="66"/>
      <c r="BDU254" s="66"/>
      <c r="BDV254" s="66"/>
      <c r="BDW254" s="66"/>
      <c r="BDX254" s="66"/>
      <c r="BDY254" s="66"/>
      <c r="BDZ254" s="66"/>
      <c r="BEA254" s="66"/>
      <c r="BEB254" s="66"/>
      <c r="BEC254" s="66"/>
      <c r="BED254" s="66"/>
      <c r="BEE254" s="66"/>
      <c r="BEF254" s="66"/>
      <c r="BEG254" s="66"/>
      <c r="BEH254" s="66"/>
      <c r="BEI254" s="66"/>
      <c r="BEJ254" s="66"/>
      <c r="BEK254" s="66"/>
      <c r="BEL254" s="66"/>
      <c r="BEM254" s="66"/>
      <c r="BEN254" s="66"/>
      <c r="BEO254" s="66"/>
      <c r="BEP254" s="66"/>
      <c r="BEQ254" s="66"/>
      <c r="BER254" s="66"/>
      <c r="BES254" s="66"/>
      <c r="BET254" s="66"/>
      <c r="BEU254" s="66"/>
      <c r="BEV254" s="66"/>
      <c r="BEW254" s="66"/>
      <c r="BEX254" s="66"/>
      <c r="BEY254" s="66"/>
      <c r="BEZ254" s="66"/>
      <c r="BFA254" s="66"/>
      <c r="BFB254" s="66"/>
      <c r="BFC254" s="66"/>
      <c r="BFD254" s="66"/>
      <c r="BFE254" s="66"/>
      <c r="BFF254" s="66"/>
      <c r="BFG254" s="66"/>
      <c r="BFH254" s="66"/>
      <c r="BFI254" s="66"/>
      <c r="BFJ254" s="66"/>
      <c r="BFK254" s="66"/>
      <c r="BFL254" s="66"/>
      <c r="BFM254" s="66"/>
      <c r="BFN254" s="66"/>
      <c r="BFO254" s="66"/>
      <c r="BFP254" s="66"/>
      <c r="BFQ254" s="66"/>
      <c r="BFR254" s="66"/>
      <c r="BFS254" s="66"/>
      <c r="BFT254" s="66"/>
      <c r="BFU254" s="66"/>
      <c r="BFV254" s="66"/>
      <c r="BFW254" s="66"/>
      <c r="BFX254" s="66"/>
      <c r="BFY254" s="66"/>
      <c r="BFZ254" s="66"/>
      <c r="BGA254" s="66"/>
      <c r="BGB254" s="66"/>
      <c r="BGC254" s="66"/>
      <c r="BGD254" s="66"/>
      <c r="BGE254" s="66"/>
      <c r="BGF254" s="66"/>
      <c r="BGG254" s="66"/>
      <c r="BGH254" s="66"/>
      <c r="BGI254" s="66"/>
      <c r="BGJ254" s="66"/>
      <c r="BGK254" s="66"/>
      <c r="BGL254" s="66"/>
      <c r="BGM254" s="66"/>
      <c r="BGN254" s="66"/>
      <c r="BGO254" s="66"/>
      <c r="BGP254" s="66"/>
      <c r="BGQ254" s="66"/>
      <c r="BGR254" s="66"/>
      <c r="BGS254" s="66"/>
      <c r="BGT254" s="66"/>
      <c r="BGU254" s="66"/>
      <c r="BGV254" s="66"/>
      <c r="BGW254" s="66"/>
      <c r="BGX254" s="66"/>
      <c r="BGY254" s="66"/>
      <c r="BGZ254" s="66"/>
      <c r="BHA254" s="66"/>
      <c r="BHB254" s="66"/>
      <c r="BHC254" s="66"/>
      <c r="BHD254" s="66"/>
      <c r="BHE254" s="66"/>
      <c r="BHF254" s="66"/>
      <c r="BHG254" s="66"/>
      <c r="BHH254" s="66"/>
      <c r="BHI254" s="66"/>
      <c r="BHJ254" s="66"/>
      <c r="BHK254" s="66"/>
      <c r="BHL254" s="66"/>
      <c r="BHM254" s="66"/>
      <c r="BHN254" s="66"/>
      <c r="BHO254" s="66"/>
      <c r="BHP254" s="66"/>
      <c r="BHQ254" s="66"/>
      <c r="BHR254" s="66"/>
      <c r="BHS254" s="66"/>
      <c r="BHT254" s="66"/>
      <c r="BHU254" s="66"/>
      <c r="BHV254" s="66"/>
      <c r="BHW254" s="66"/>
      <c r="BHX254" s="66"/>
      <c r="BHY254" s="66"/>
      <c r="BHZ254" s="66"/>
      <c r="BIA254" s="66"/>
      <c r="BIB254" s="66"/>
      <c r="BIC254" s="66"/>
      <c r="BID254" s="66"/>
      <c r="BIE254" s="66"/>
      <c r="BIF254" s="66"/>
      <c r="BIG254" s="66"/>
      <c r="BIH254" s="66"/>
      <c r="BII254" s="66"/>
      <c r="BIJ254" s="66"/>
      <c r="BIK254" s="66"/>
      <c r="BIL254" s="66"/>
      <c r="BIM254" s="66"/>
      <c r="BIN254" s="66"/>
      <c r="BIO254" s="66"/>
      <c r="BIP254" s="66"/>
      <c r="BIQ254" s="66"/>
      <c r="BIR254" s="66"/>
      <c r="BIS254" s="66"/>
      <c r="BIT254" s="66"/>
      <c r="BIU254" s="66"/>
      <c r="BIV254" s="66"/>
      <c r="BIW254" s="66"/>
      <c r="BIX254" s="66"/>
      <c r="BIY254" s="66"/>
      <c r="BIZ254" s="66"/>
      <c r="BJA254" s="66"/>
      <c r="BJB254" s="66"/>
      <c r="BJC254" s="66"/>
      <c r="BJD254" s="66"/>
      <c r="BJE254" s="66"/>
      <c r="BJF254" s="66"/>
      <c r="BJG254" s="66"/>
      <c r="BJH254" s="66"/>
      <c r="BJI254" s="66"/>
      <c r="BJJ254" s="66"/>
      <c r="BJK254" s="66"/>
      <c r="BJL254" s="66"/>
      <c r="BJM254" s="66"/>
      <c r="BJN254" s="66"/>
      <c r="BJO254" s="66"/>
      <c r="BJP254" s="66"/>
      <c r="BJQ254" s="66"/>
      <c r="BJR254" s="66"/>
      <c r="BJS254" s="66"/>
      <c r="BJT254" s="66"/>
      <c r="BJU254" s="66"/>
      <c r="BJV254" s="66"/>
      <c r="BJW254" s="66"/>
      <c r="BJX254" s="66"/>
      <c r="BJY254" s="66"/>
      <c r="BJZ254" s="66"/>
      <c r="BKA254" s="66"/>
      <c r="BKB254" s="66"/>
      <c r="BKC254" s="66"/>
      <c r="BKD254" s="66"/>
      <c r="BKE254" s="66"/>
      <c r="BKF254" s="66"/>
      <c r="BKG254" s="66"/>
      <c r="BKH254" s="66"/>
      <c r="BKI254" s="66"/>
      <c r="BKJ254" s="66"/>
      <c r="BKK254" s="66"/>
      <c r="BKL254" s="66"/>
      <c r="BKM254" s="66"/>
      <c r="BKN254" s="66"/>
      <c r="BKO254" s="66"/>
      <c r="BKP254" s="66"/>
      <c r="BKQ254" s="66"/>
      <c r="BKR254" s="66"/>
      <c r="BKS254" s="66"/>
      <c r="BKT254" s="66"/>
      <c r="BKU254" s="66"/>
      <c r="BKV254" s="66"/>
      <c r="BKW254" s="66"/>
      <c r="BKX254" s="66"/>
      <c r="BKY254" s="66"/>
      <c r="BKZ254" s="66"/>
      <c r="BLA254" s="66"/>
      <c r="BLB254" s="66"/>
      <c r="BLC254" s="66"/>
      <c r="BLD254" s="66"/>
      <c r="BLE254" s="66"/>
      <c r="BLF254" s="66"/>
      <c r="BLG254" s="66"/>
      <c r="BLH254" s="66"/>
      <c r="BLI254" s="66"/>
      <c r="BLJ254" s="66"/>
      <c r="BLK254" s="66"/>
      <c r="BLL254" s="66"/>
      <c r="BLM254" s="66"/>
      <c r="BLN254" s="66"/>
      <c r="BLO254" s="66"/>
      <c r="BLP254" s="66"/>
      <c r="BLQ254" s="66"/>
      <c r="BLR254" s="66"/>
      <c r="BLS254" s="66"/>
      <c r="BLT254" s="66"/>
      <c r="BLU254" s="66"/>
      <c r="BLV254" s="66"/>
      <c r="BLW254" s="66"/>
      <c r="BLX254" s="66"/>
      <c r="BLY254" s="66"/>
      <c r="BLZ254" s="66"/>
      <c r="BMA254" s="66"/>
      <c r="BMB254" s="66"/>
      <c r="BMC254" s="66"/>
      <c r="BMD254" s="66"/>
      <c r="BME254" s="66"/>
      <c r="BMF254" s="66"/>
      <c r="BMG254" s="66"/>
      <c r="BMH254" s="66"/>
      <c r="BMI254" s="66"/>
      <c r="BMJ254" s="66"/>
      <c r="BMK254" s="66"/>
      <c r="BML254" s="66"/>
      <c r="BMM254" s="66"/>
      <c r="BMN254" s="66"/>
      <c r="BMO254" s="66"/>
      <c r="BMP254" s="66"/>
      <c r="BMQ254" s="66"/>
      <c r="BMR254" s="66"/>
      <c r="BMS254" s="66"/>
      <c r="BMT254" s="66"/>
      <c r="BMU254" s="66"/>
      <c r="BMV254" s="66"/>
      <c r="BMW254" s="66"/>
      <c r="BMX254" s="66"/>
      <c r="BMY254" s="66"/>
      <c r="BMZ254" s="66"/>
      <c r="BNA254" s="66"/>
      <c r="BNB254" s="66"/>
      <c r="BNC254" s="66"/>
      <c r="BND254" s="66"/>
      <c r="BNE254" s="66"/>
      <c r="BNF254" s="66"/>
      <c r="BNG254" s="66"/>
      <c r="BNH254" s="66"/>
      <c r="BNI254" s="66"/>
      <c r="BNJ254" s="66"/>
      <c r="BNK254" s="66"/>
      <c r="BNL254" s="66"/>
      <c r="BNM254" s="66"/>
      <c r="BNN254" s="66"/>
      <c r="BNO254" s="66"/>
      <c r="BNP254" s="66"/>
      <c r="BNQ254" s="66"/>
      <c r="BNR254" s="66"/>
      <c r="BNS254" s="66"/>
      <c r="BNT254" s="66"/>
      <c r="BNU254" s="66"/>
      <c r="BNV254" s="66"/>
      <c r="BNW254" s="66"/>
      <c r="BNX254" s="66"/>
      <c r="BNY254" s="66"/>
      <c r="BNZ254" s="66"/>
      <c r="BOA254" s="66"/>
      <c r="BOB254" s="66"/>
      <c r="BOC254" s="66"/>
      <c r="BOD254" s="66"/>
      <c r="BOE254" s="66"/>
      <c r="BOF254" s="66"/>
      <c r="BOG254" s="66"/>
      <c r="BOH254" s="66"/>
      <c r="BOI254" s="66"/>
      <c r="BOJ254" s="66"/>
      <c r="BOK254" s="66"/>
      <c r="BOL254" s="66"/>
      <c r="BOM254" s="66"/>
      <c r="BON254" s="66"/>
      <c r="BOO254" s="66"/>
      <c r="BOP254" s="66"/>
      <c r="BOQ254" s="66"/>
      <c r="BOR254" s="66"/>
      <c r="BOS254" s="66"/>
      <c r="BOT254" s="66"/>
      <c r="BOU254" s="66"/>
      <c r="BOV254" s="66"/>
      <c r="BOW254" s="66"/>
      <c r="BOX254" s="66"/>
      <c r="BOY254" s="66"/>
      <c r="BOZ254" s="66"/>
      <c r="BPA254" s="66"/>
      <c r="BPB254" s="66"/>
      <c r="BPC254" s="66"/>
      <c r="BPD254" s="66"/>
      <c r="BPE254" s="66"/>
      <c r="BPF254" s="66"/>
      <c r="BPG254" s="66"/>
      <c r="BPH254" s="66"/>
      <c r="BPI254" s="66"/>
      <c r="BPJ254" s="66"/>
      <c r="BPK254" s="66"/>
      <c r="BPL254" s="66"/>
      <c r="BPM254" s="66"/>
      <c r="BPN254" s="66"/>
      <c r="BPO254" s="66"/>
      <c r="BPP254" s="66"/>
      <c r="BPQ254" s="66"/>
      <c r="BPR254" s="66"/>
      <c r="BPS254" s="66"/>
      <c r="BPT254" s="66"/>
      <c r="BPU254" s="66"/>
      <c r="BPV254" s="66"/>
      <c r="BPW254" s="66"/>
      <c r="BPX254" s="66"/>
      <c r="BPY254" s="66"/>
      <c r="BPZ254" s="66"/>
      <c r="BQA254" s="66"/>
      <c r="BQB254" s="66"/>
      <c r="BQC254" s="66"/>
      <c r="BQD254" s="66"/>
      <c r="BQE254" s="66"/>
      <c r="BQF254" s="66"/>
      <c r="BQG254" s="66"/>
      <c r="BQH254" s="66"/>
      <c r="BQI254" s="66"/>
      <c r="BQJ254" s="66"/>
      <c r="BQK254" s="66"/>
      <c r="BQL254" s="66"/>
      <c r="BQM254" s="66"/>
      <c r="BQN254" s="66"/>
      <c r="BQO254" s="66"/>
      <c r="BQP254" s="66"/>
      <c r="BQQ254" s="66"/>
      <c r="BQR254" s="66"/>
      <c r="BQS254" s="66"/>
      <c r="BQT254" s="66"/>
      <c r="BQU254" s="66"/>
      <c r="BQV254" s="66"/>
      <c r="BQW254" s="66"/>
      <c r="BQX254" s="66"/>
      <c r="BQY254" s="66"/>
      <c r="BQZ254" s="66"/>
      <c r="BRA254" s="66"/>
      <c r="BRB254" s="66"/>
      <c r="BRC254" s="66"/>
      <c r="BRD254" s="66"/>
      <c r="BRE254" s="66"/>
      <c r="BRF254" s="66"/>
      <c r="BRG254" s="66"/>
      <c r="BRH254" s="66"/>
      <c r="BRI254" s="66"/>
      <c r="BRJ254" s="66"/>
      <c r="BRK254" s="66"/>
      <c r="BRL254" s="66"/>
      <c r="BRM254" s="66"/>
      <c r="BRN254" s="66"/>
      <c r="BRO254" s="66"/>
      <c r="BRP254" s="66"/>
      <c r="BRQ254" s="66"/>
      <c r="BRR254" s="66"/>
      <c r="BRS254" s="66"/>
      <c r="BRT254" s="66"/>
      <c r="BRU254" s="66"/>
      <c r="BRV254" s="66"/>
      <c r="BRW254" s="66"/>
      <c r="BRX254" s="66"/>
      <c r="BRY254" s="66"/>
      <c r="BRZ254" s="66"/>
      <c r="BSA254" s="66"/>
      <c r="BSB254" s="66"/>
      <c r="BSC254" s="66"/>
      <c r="BSD254" s="66"/>
      <c r="BSE254" s="66"/>
      <c r="BSF254" s="66"/>
      <c r="BSG254" s="66"/>
      <c r="BSH254" s="66"/>
      <c r="BSI254" s="66"/>
      <c r="BSJ254" s="66"/>
      <c r="BSK254" s="66"/>
      <c r="BSL254" s="66"/>
      <c r="BSM254" s="66"/>
      <c r="BSN254" s="66"/>
      <c r="BSO254" s="66"/>
      <c r="BSP254" s="66"/>
      <c r="BSQ254" s="66"/>
      <c r="BSR254" s="66"/>
      <c r="BSS254" s="66"/>
      <c r="BST254" s="66"/>
      <c r="BSU254" s="66"/>
      <c r="BSV254" s="66"/>
      <c r="BSW254" s="66"/>
      <c r="BSX254" s="66"/>
      <c r="BSY254" s="66"/>
      <c r="BSZ254" s="66"/>
      <c r="BTA254" s="66"/>
      <c r="BTB254" s="66"/>
      <c r="BTC254" s="66"/>
      <c r="BTD254" s="66"/>
      <c r="BTE254" s="66"/>
      <c r="BTF254" s="66"/>
      <c r="BTG254" s="66"/>
      <c r="BTH254" s="66"/>
      <c r="BTI254" s="66"/>
      <c r="BTJ254" s="66"/>
      <c r="BTK254" s="66"/>
      <c r="BTL254" s="66"/>
      <c r="BTM254" s="66"/>
      <c r="BTN254" s="66"/>
      <c r="BTO254" s="66"/>
      <c r="BTP254" s="66"/>
      <c r="BTQ254" s="66"/>
      <c r="BTR254" s="66"/>
      <c r="BTS254" s="66"/>
      <c r="BTT254" s="66"/>
      <c r="BTU254" s="66"/>
      <c r="BTV254" s="66"/>
      <c r="BTW254" s="66"/>
      <c r="BTX254" s="66"/>
      <c r="BTY254" s="66"/>
      <c r="BTZ254" s="66"/>
      <c r="BUA254" s="66"/>
      <c r="BUB254" s="66"/>
      <c r="BUC254" s="66"/>
      <c r="BUD254" s="66"/>
      <c r="BUE254" s="66"/>
      <c r="BUF254" s="66"/>
      <c r="BUG254" s="66"/>
      <c r="BUH254" s="66"/>
      <c r="BUI254" s="66"/>
      <c r="BUJ254" s="66"/>
      <c r="BUK254" s="66"/>
      <c r="BUL254" s="66"/>
      <c r="BUM254" s="66"/>
      <c r="BUN254" s="66"/>
      <c r="BUO254" s="66"/>
      <c r="BUP254" s="66"/>
      <c r="BUQ254" s="66"/>
      <c r="BUR254" s="66"/>
      <c r="BUS254" s="66"/>
      <c r="BUT254" s="66"/>
      <c r="BUU254" s="66"/>
      <c r="BUV254" s="66"/>
      <c r="BUW254" s="66"/>
      <c r="BUX254" s="66"/>
      <c r="BUY254" s="66"/>
      <c r="BUZ254" s="66"/>
      <c r="BVA254" s="66"/>
      <c r="BVB254" s="66"/>
      <c r="BVC254" s="66"/>
      <c r="BVD254" s="66"/>
      <c r="BVE254" s="66"/>
      <c r="BVF254" s="66"/>
      <c r="BVG254" s="66"/>
      <c r="BVH254" s="66"/>
      <c r="BVI254" s="66"/>
      <c r="BVJ254" s="66"/>
      <c r="BVK254" s="66"/>
      <c r="BVL254" s="66"/>
      <c r="BVM254" s="66"/>
      <c r="BVN254" s="66"/>
      <c r="BVO254" s="66"/>
      <c r="BVP254" s="66"/>
      <c r="BVQ254" s="66"/>
      <c r="BVR254" s="66"/>
      <c r="BVS254" s="66"/>
      <c r="BVT254" s="66"/>
      <c r="BVU254" s="66"/>
      <c r="BVV254" s="66"/>
      <c r="BVW254" s="66"/>
      <c r="BVX254" s="66"/>
      <c r="BVY254" s="66"/>
      <c r="BVZ254" s="66"/>
      <c r="BWA254" s="66"/>
      <c r="BWB254" s="66"/>
      <c r="BWC254" s="66"/>
      <c r="BWD254" s="66"/>
      <c r="BWE254" s="66"/>
      <c r="BWF254" s="66"/>
      <c r="BWG254" s="66"/>
      <c r="BWH254" s="66"/>
      <c r="BWI254" s="66"/>
      <c r="BWJ254" s="66"/>
      <c r="BWK254" s="66"/>
      <c r="BWL254" s="66"/>
      <c r="BWM254" s="66"/>
      <c r="BWN254" s="66"/>
      <c r="BWO254" s="66"/>
      <c r="BWP254" s="66"/>
      <c r="BWQ254" s="66"/>
      <c r="BWR254" s="66"/>
      <c r="BWS254" s="66"/>
      <c r="BWT254" s="66"/>
      <c r="BWU254" s="66"/>
      <c r="BWV254" s="66"/>
      <c r="BWW254" s="66"/>
      <c r="BWX254" s="66"/>
      <c r="BWY254" s="66"/>
      <c r="BWZ254" s="66"/>
      <c r="BXA254" s="66"/>
      <c r="BXB254" s="66"/>
      <c r="BXC254" s="66"/>
      <c r="BXD254" s="66"/>
      <c r="BXE254" s="66"/>
      <c r="BXF254" s="66"/>
      <c r="BXG254" s="66"/>
      <c r="BXH254" s="66"/>
      <c r="BXI254" s="66"/>
      <c r="BXJ254" s="66"/>
      <c r="BXK254" s="66"/>
      <c r="BXL254" s="66"/>
      <c r="BXM254" s="66"/>
      <c r="BXN254" s="66"/>
      <c r="BXO254" s="66"/>
      <c r="BXP254" s="66"/>
      <c r="BXQ254" s="66"/>
      <c r="BXR254" s="66"/>
      <c r="BXS254" s="66"/>
      <c r="BXT254" s="66"/>
      <c r="BXU254" s="66"/>
      <c r="BXV254" s="66"/>
      <c r="BXW254" s="66"/>
      <c r="BXX254" s="66"/>
      <c r="BXY254" s="66"/>
      <c r="BXZ254" s="66"/>
      <c r="BYA254" s="66"/>
      <c r="BYB254" s="66"/>
      <c r="BYC254" s="66"/>
      <c r="BYD254" s="66"/>
      <c r="BYE254" s="66"/>
      <c r="BYF254" s="66"/>
      <c r="BYG254" s="66"/>
      <c r="BYH254" s="66"/>
      <c r="BYI254" s="66"/>
      <c r="BYJ254" s="66"/>
      <c r="BYK254" s="66"/>
      <c r="BYL254" s="66"/>
      <c r="BYM254" s="66"/>
      <c r="BYN254" s="66"/>
      <c r="BYO254" s="66"/>
      <c r="BYP254" s="66"/>
      <c r="BYQ254" s="66"/>
      <c r="BYR254" s="66"/>
      <c r="BYS254" s="66"/>
      <c r="BYT254" s="66"/>
      <c r="BYU254" s="66"/>
      <c r="BYV254" s="66"/>
      <c r="BYW254" s="66"/>
      <c r="BYX254" s="66"/>
      <c r="BYY254" s="66"/>
      <c r="BYZ254" s="66"/>
      <c r="BZA254" s="66"/>
      <c r="BZB254" s="66"/>
      <c r="BZC254" s="66"/>
      <c r="BZD254" s="66"/>
      <c r="BZE254" s="66"/>
      <c r="BZF254" s="66"/>
      <c r="BZG254" s="66"/>
      <c r="BZH254" s="66"/>
      <c r="BZI254" s="66"/>
      <c r="BZJ254" s="66"/>
      <c r="BZK254" s="66"/>
      <c r="BZL254" s="66"/>
      <c r="BZM254" s="66"/>
      <c r="BZN254" s="66"/>
      <c r="BZO254" s="66"/>
      <c r="BZP254" s="66"/>
      <c r="BZQ254" s="66"/>
      <c r="BZR254" s="66"/>
      <c r="BZS254" s="66"/>
      <c r="BZT254" s="66"/>
      <c r="BZU254" s="66"/>
      <c r="BZV254" s="66"/>
      <c r="BZW254" s="66"/>
      <c r="BZX254" s="66"/>
      <c r="BZY254" s="66"/>
      <c r="BZZ254" s="66"/>
      <c r="CAA254" s="66"/>
      <c r="CAB254" s="66"/>
      <c r="CAC254" s="66"/>
      <c r="CAD254" s="66"/>
      <c r="CAE254" s="66"/>
      <c r="CAF254" s="66"/>
      <c r="CAG254" s="66"/>
      <c r="CAH254" s="66"/>
      <c r="CAI254" s="66"/>
      <c r="CAJ254" s="66"/>
      <c r="CAK254" s="66"/>
      <c r="CAL254" s="66"/>
      <c r="CAM254" s="66"/>
      <c r="CAN254" s="66"/>
      <c r="CAO254" s="66"/>
      <c r="CAP254" s="66"/>
      <c r="CAQ254" s="66"/>
      <c r="CAR254" s="66"/>
      <c r="CAS254" s="66"/>
      <c r="CAT254" s="66"/>
      <c r="CAU254" s="66"/>
      <c r="CAV254" s="66"/>
      <c r="CAW254" s="66"/>
      <c r="CAX254" s="66"/>
      <c r="CAY254" s="66"/>
      <c r="CAZ254" s="66"/>
      <c r="CBA254" s="66"/>
      <c r="CBB254" s="66"/>
      <c r="CBC254" s="66"/>
      <c r="CBD254" s="66"/>
      <c r="CBE254" s="66"/>
      <c r="CBF254" s="66"/>
      <c r="CBG254" s="66"/>
      <c r="CBH254" s="66"/>
      <c r="CBI254" s="66"/>
      <c r="CBJ254" s="66"/>
      <c r="CBK254" s="66"/>
      <c r="CBL254" s="66"/>
      <c r="CBM254" s="66"/>
      <c r="CBN254" s="66"/>
      <c r="CBO254" s="66"/>
      <c r="CBP254" s="66"/>
      <c r="CBQ254" s="66"/>
      <c r="CBR254" s="66"/>
      <c r="CBS254" s="66"/>
      <c r="CBT254" s="66"/>
      <c r="CBU254" s="66"/>
      <c r="CBV254" s="66"/>
      <c r="CBW254" s="66"/>
      <c r="CBX254" s="66"/>
      <c r="CBY254" s="66"/>
      <c r="CBZ254" s="66"/>
      <c r="CCA254" s="66"/>
      <c r="CCB254" s="66"/>
      <c r="CCC254" s="66"/>
      <c r="CCD254" s="66"/>
      <c r="CCE254" s="66"/>
      <c r="CCF254" s="66"/>
      <c r="CCG254" s="66"/>
      <c r="CCH254" s="66"/>
      <c r="CCI254" s="66"/>
      <c r="CCJ254" s="66"/>
      <c r="CCK254" s="66"/>
      <c r="CCL254" s="66"/>
      <c r="CCM254" s="66"/>
      <c r="CCN254" s="66"/>
      <c r="CCO254" s="66"/>
      <c r="CCP254" s="66"/>
      <c r="CCQ254" s="66"/>
      <c r="CCR254" s="66"/>
      <c r="CCS254" s="66"/>
      <c r="CCT254" s="66"/>
      <c r="CCU254" s="66"/>
      <c r="CCV254" s="66"/>
      <c r="CCW254" s="66"/>
      <c r="CCX254" s="66"/>
      <c r="CCY254" s="66"/>
      <c r="CCZ254" s="66"/>
      <c r="CDA254" s="66"/>
      <c r="CDB254" s="66"/>
      <c r="CDC254" s="66"/>
      <c r="CDD254" s="66"/>
      <c r="CDE254" s="66"/>
      <c r="CDF254" s="66"/>
      <c r="CDG254" s="66"/>
      <c r="CDH254" s="66"/>
      <c r="CDI254" s="66"/>
      <c r="CDJ254" s="66"/>
      <c r="CDK254" s="66"/>
      <c r="CDL254" s="66"/>
      <c r="CDM254" s="66"/>
      <c r="CDN254" s="66"/>
      <c r="CDO254" s="66"/>
      <c r="CDP254" s="66"/>
      <c r="CDQ254" s="66"/>
      <c r="CDR254" s="66"/>
      <c r="CDS254" s="66"/>
      <c r="CDT254" s="66"/>
      <c r="CDU254" s="66"/>
      <c r="CDV254" s="66"/>
      <c r="CDW254" s="66"/>
      <c r="CDX254" s="66"/>
      <c r="CDY254" s="66"/>
      <c r="CDZ254" s="66"/>
      <c r="CEA254" s="66"/>
      <c r="CEB254" s="66"/>
      <c r="CEC254" s="66"/>
      <c r="CED254" s="66"/>
      <c r="CEE254" s="66"/>
      <c r="CEF254" s="66"/>
      <c r="CEG254" s="66"/>
      <c r="CEH254" s="66"/>
      <c r="CEI254" s="66"/>
      <c r="CEJ254" s="66"/>
      <c r="CEK254" s="66"/>
      <c r="CEL254" s="66"/>
      <c r="CEM254" s="66"/>
      <c r="CEN254" s="66"/>
      <c r="CEO254" s="66"/>
      <c r="CEP254" s="66"/>
      <c r="CEQ254" s="66"/>
      <c r="CER254" s="66"/>
      <c r="CES254" s="66"/>
      <c r="CET254" s="66"/>
      <c r="CEU254" s="66"/>
      <c r="CEV254" s="66"/>
      <c r="CEW254" s="66"/>
      <c r="CEX254" s="66"/>
      <c r="CEY254" s="66"/>
      <c r="CEZ254" s="66"/>
      <c r="CFA254" s="66"/>
      <c r="CFB254" s="66"/>
      <c r="CFC254" s="66"/>
      <c r="CFD254" s="66"/>
      <c r="CFE254" s="66"/>
      <c r="CFF254" s="66"/>
      <c r="CFG254" s="66"/>
      <c r="CFH254" s="66"/>
      <c r="CFI254" s="66"/>
      <c r="CFJ254" s="66"/>
      <c r="CFK254" s="66"/>
      <c r="CFL254" s="66"/>
      <c r="CFM254" s="66"/>
      <c r="CFN254" s="66"/>
      <c r="CFO254" s="66"/>
      <c r="CFP254" s="66"/>
      <c r="CFQ254" s="66"/>
      <c r="CFR254" s="66"/>
      <c r="CFS254" s="66"/>
      <c r="CFT254" s="66"/>
      <c r="CFU254" s="66"/>
      <c r="CFV254" s="66"/>
      <c r="CFW254" s="66"/>
      <c r="CFX254" s="66"/>
      <c r="CFY254" s="66"/>
      <c r="CFZ254" s="66"/>
      <c r="CGA254" s="66"/>
      <c r="CGB254" s="66"/>
      <c r="CGC254" s="66"/>
      <c r="CGD254" s="66"/>
      <c r="CGE254" s="66"/>
      <c r="CGF254" s="66"/>
      <c r="CGG254" s="66"/>
      <c r="CGH254" s="66"/>
      <c r="CGI254" s="66"/>
      <c r="CGJ254" s="66"/>
      <c r="CGK254" s="66"/>
      <c r="CGL254" s="66"/>
      <c r="CGM254" s="66"/>
      <c r="CGN254" s="66"/>
      <c r="CGO254" s="66"/>
      <c r="CGP254" s="66"/>
      <c r="CGQ254" s="66"/>
      <c r="CGR254" s="66"/>
      <c r="CGS254" s="66"/>
      <c r="CGT254" s="66"/>
      <c r="CGU254" s="66"/>
      <c r="CGV254" s="66"/>
      <c r="CGW254" s="66"/>
      <c r="CGX254" s="66"/>
      <c r="CGY254" s="66"/>
      <c r="CGZ254" s="66"/>
      <c r="CHA254" s="66"/>
      <c r="CHB254" s="66"/>
      <c r="CHC254" s="66"/>
      <c r="CHD254" s="66"/>
      <c r="CHE254" s="66"/>
      <c r="CHF254" s="66"/>
      <c r="CHG254" s="66"/>
      <c r="CHH254" s="66"/>
      <c r="CHI254" s="66"/>
      <c r="CHJ254" s="66"/>
      <c r="CHK254" s="66"/>
      <c r="CHL254" s="66"/>
      <c r="CHM254" s="66"/>
      <c r="CHN254" s="66"/>
      <c r="CHO254" s="66"/>
      <c r="CHP254" s="66"/>
      <c r="CHQ254" s="66"/>
      <c r="CHR254" s="66"/>
      <c r="CHS254" s="66"/>
      <c r="CHT254" s="66"/>
      <c r="CHU254" s="66"/>
      <c r="CHV254" s="66"/>
      <c r="CHW254" s="66"/>
      <c r="CHX254" s="66"/>
      <c r="CHY254" s="66"/>
      <c r="CHZ254" s="66"/>
      <c r="CIA254" s="66"/>
      <c r="CIB254" s="66"/>
      <c r="CIC254" s="66"/>
      <c r="CID254" s="66"/>
      <c r="CIE254" s="66"/>
      <c r="CIF254" s="66"/>
      <c r="CIG254" s="66"/>
      <c r="CIH254" s="66"/>
      <c r="CII254" s="66"/>
      <c r="CIJ254" s="66"/>
      <c r="CIK254" s="66"/>
      <c r="CIL254" s="66"/>
      <c r="CIM254" s="66"/>
      <c r="CIN254" s="66"/>
      <c r="CIO254" s="66"/>
      <c r="CIP254" s="66"/>
      <c r="CIQ254" s="66"/>
      <c r="CIR254" s="66"/>
      <c r="CIS254" s="66"/>
      <c r="CIT254" s="66"/>
      <c r="CIU254" s="66"/>
      <c r="CIV254" s="66"/>
      <c r="CIW254" s="66"/>
      <c r="CIX254" s="66"/>
      <c r="CIY254" s="66"/>
      <c r="CIZ254" s="66"/>
      <c r="CJA254" s="66"/>
      <c r="CJB254" s="66"/>
      <c r="CJC254" s="66"/>
      <c r="CJD254" s="66"/>
      <c r="CJE254" s="66"/>
      <c r="CJF254" s="66"/>
      <c r="CJG254" s="66"/>
      <c r="CJH254" s="66"/>
      <c r="CJI254" s="66"/>
      <c r="CJJ254" s="66"/>
      <c r="CJK254" s="66"/>
      <c r="CJL254" s="66"/>
      <c r="CJM254" s="66"/>
      <c r="CJN254" s="66"/>
      <c r="CJO254" s="66"/>
      <c r="CJP254" s="66"/>
      <c r="CJQ254" s="66"/>
      <c r="CJR254" s="66"/>
      <c r="CJS254" s="66"/>
      <c r="CJT254" s="66"/>
      <c r="CJU254" s="66"/>
      <c r="CJV254" s="66"/>
      <c r="CJW254" s="66"/>
      <c r="CJX254" s="66"/>
      <c r="CJY254" s="66"/>
      <c r="CJZ254" s="66"/>
      <c r="CKA254" s="66"/>
      <c r="CKB254" s="66"/>
      <c r="CKC254" s="66"/>
      <c r="CKD254" s="66"/>
      <c r="CKE254" s="66"/>
      <c r="CKF254" s="66"/>
      <c r="CKG254" s="66"/>
      <c r="CKH254" s="66"/>
      <c r="CKI254" s="66"/>
      <c r="CKJ254" s="66"/>
      <c r="CKK254" s="66"/>
      <c r="CKL254" s="66"/>
      <c r="CKM254" s="66"/>
      <c r="CKN254" s="66"/>
      <c r="CKO254" s="66"/>
      <c r="CKP254" s="66"/>
      <c r="CKQ254" s="66"/>
      <c r="CKR254" s="66"/>
      <c r="CKS254" s="66"/>
      <c r="CKT254" s="66"/>
      <c r="CKU254" s="66"/>
      <c r="CKV254" s="66"/>
      <c r="CKW254" s="66"/>
      <c r="CKX254" s="66"/>
      <c r="CKY254" s="66"/>
      <c r="CKZ254" s="66"/>
      <c r="CLA254" s="66"/>
      <c r="CLB254" s="66"/>
      <c r="CLC254" s="66"/>
      <c r="CLD254" s="66"/>
      <c r="CLE254" s="66"/>
      <c r="CLF254" s="66"/>
      <c r="CLG254" s="66"/>
      <c r="CLH254" s="66"/>
      <c r="CLI254" s="66"/>
      <c r="CLJ254" s="66"/>
      <c r="CLK254" s="66"/>
      <c r="CLL254" s="66"/>
      <c r="CLM254" s="66"/>
      <c r="CLN254" s="66"/>
      <c r="CLO254" s="66"/>
      <c r="CLP254" s="66"/>
      <c r="CLQ254" s="66"/>
      <c r="CLR254" s="66"/>
      <c r="CLS254" s="66"/>
      <c r="CLT254" s="66"/>
      <c r="CLU254" s="66"/>
      <c r="CLV254" s="66"/>
      <c r="CLW254" s="66"/>
      <c r="CLX254" s="66"/>
      <c r="CLY254" s="66"/>
      <c r="CLZ254" s="66"/>
      <c r="CMA254" s="66"/>
      <c r="CMB254" s="66"/>
      <c r="CMC254" s="66"/>
      <c r="CMD254" s="66"/>
      <c r="CME254" s="66"/>
      <c r="CMF254" s="66"/>
      <c r="CMG254" s="66"/>
      <c r="CMH254" s="66"/>
      <c r="CMI254" s="66"/>
      <c r="CMJ254" s="66"/>
      <c r="CMK254" s="66"/>
      <c r="CML254" s="66"/>
      <c r="CMM254" s="66"/>
      <c r="CMN254" s="66"/>
      <c r="CMO254" s="66"/>
      <c r="CMP254" s="66"/>
      <c r="CMQ254" s="66"/>
      <c r="CMR254" s="66"/>
      <c r="CMS254" s="66"/>
      <c r="CMT254" s="66"/>
      <c r="CMU254" s="66"/>
      <c r="CMV254" s="66"/>
      <c r="CMW254" s="66"/>
      <c r="CMX254" s="66"/>
      <c r="CMY254" s="66"/>
      <c r="CMZ254" s="66"/>
      <c r="CNA254" s="66"/>
      <c r="CNB254" s="66"/>
      <c r="CNC254" s="66"/>
      <c r="CND254" s="66"/>
      <c r="CNE254" s="66"/>
      <c r="CNF254" s="66"/>
      <c r="CNG254" s="66"/>
      <c r="CNH254" s="66"/>
      <c r="CNI254" s="66"/>
      <c r="CNJ254" s="66"/>
      <c r="CNK254" s="66"/>
      <c r="CNL254" s="66"/>
      <c r="CNM254" s="66"/>
      <c r="CNN254" s="66"/>
      <c r="CNO254" s="66"/>
      <c r="CNP254" s="66"/>
      <c r="CNQ254" s="66"/>
      <c r="CNR254" s="66"/>
      <c r="CNS254" s="66"/>
      <c r="CNT254" s="66"/>
      <c r="CNU254" s="66"/>
      <c r="CNV254" s="66"/>
      <c r="CNW254" s="66"/>
      <c r="CNX254" s="66"/>
      <c r="CNY254" s="66"/>
      <c r="CNZ254" s="66"/>
      <c r="COA254" s="66"/>
      <c r="COB254" s="66"/>
      <c r="COC254" s="66"/>
      <c r="COD254" s="66"/>
      <c r="COE254" s="66"/>
      <c r="COF254" s="66"/>
      <c r="COG254" s="66"/>
      <c r="COH254" s="66"/>
      <c r="COI254" s="66"/>
      <c r="COJ254" s="66"/>
      <c r="COK254" s="66"/>
      <c r="COL254" s="66"/>
      <c r="COM254" s="66"/>
      <c r="CON254" s="66"/>
      <c r="COO254" s="66"/>
      <c r="COP254" s="66"/>
      <c r="COQ254" s="66"/>
      <c r="COR254" s="66"/>
      <c r="COS254" s="66"/>
      <c r="COT254" s="66"/>
      <c r="COU254" s="66"/>
      <c r="COV254" s="66"/>
      <c r="COW254" s="66"/>
      <c r="COX254" s="66"/>
      <c r="COY254" s="66"/>
      <c r="COZ254" s="66"/>
      <c r="CPA254" s="66"/>
      <c r="CPB254" s="66"/>
      <c r="CPC254" s="66"/>
      <c r="CPD254" s="66"/>
      <c r="CPE254" s="66"/>
      <c r="CPF254" s="66"/>
      <c r="CPG254" s="66"/>
      <c r="CPH254" s="66"/>
      <c r="CPI254" s="66"/>
      <c r="CPJ254" s="66"/>
      <c r="CPK254" s="66"/>
      <c r="CPL254" s="66"/>
      <c r="CPM254" s="66"/>
      <c r="CPN254" s="66"/>
      <c r="CPO254" s="66"/>
      <c r="CPP254" s="66"/>
      <c r="CPQ254" s="66"/>
      <c r="CPR254" s="66"/>
      <c r="CPS254" s="66"/>
      <c r="CPT254" s="66"/>
      <c r="CPU254" s="66"/>
      <c r="CPV254" s="66"/>
      <c r="CPW254" s="66"/>
      <c r="CPX254" s="66"/>
      <c r="CPY254" s="66"/>
      <c r="CPZ254" s="66"/>
      <c r="CQA254" s="66"/>
      <c r="CQB254" s="66"/>
      <c r="CQC254" s="66"/>
      <c r="CQD254" s="66"/>
      <c r="CQE254" s="66"/>
      <c r="CQF254" s="66"/>
      <c r="CQG254" s="66"/>
      <c r="CQH254" s="66"/>
      <c r="CQI254" s="66"/>
      <c r="CQJ254" s="66"/>
      <c r="CQK254" s="66"/>
      <c r="CQL254" s="66"/>
      <c r="CQM254" s="66"/>
      <c r="CQN254" s="66"/>
      <c r="CQO254" s="66"/>
      <c r="CQP254" s="66"/>
      <c r="CQQ254" s="66"/>
      <c r="CQR254" s="66"/>
      <c r="CQS254" s="66"/>
      <c r="CQT254" s="66"/>
      <c r="CQU254" s="66"/>
      <c r="CQV254" s="66"/>
      <c r="CQW254" s="66"/>
      <c r="CQX254" s="66"/>
      <c r="CQY254" s="66"/>
      <c r="CQZ254" s="66"/>
      <c r="CRA254" s="66"/>
      <c r="CRB254" s="66"/>
      <c r="CRC254" s="66"/>
      <c r="CRD254" s="66"/>
      <c r="CRE254" s="66"/>
      <c r="CRF254" s="66"/>
      <c r="CRG254" s="66"/>
      <c r="CRH254" s="66"/>
      <c r="CRI254" s="66"/>
      <c r="CRJ254" s="66"/>
      <c r="CRK254" s="66"/>
      <c r="CRL254" s="66"/>
      <c r="CRM254" s="66"/>
      <c r="CRN254" s="66"/>
      <c r="CRO254" s="66"/>
      <c r="CRP254" s="66"/>
      <c r="CRQ254" s="66"/>
      <c r="CRR254" s="66"/>
      <c r="CRS254" s="66"/>
      <c r="CRT254" s="66"/>
      <c r="CRU254" s="66"/>
      <c r="CRV254" s="66"/>
      <c r="CRW254" s="66"/>
      <c r="CRX254" s="66"/>
      <c r="CRY254" s="66"/>
      <c r="CRZ254" s="66"/>
      <c r="CSA254" s="66"/>
      <c r="CSB254" s="66"/>
      <c r="CSC254" s="66"/>
      <c r="CSD254" s="66"/>
      <c r="CSE254" s="66"/>
      <c r="CSF254" s="66"/>
      <c r="CSG254" s="66"/>
      <c r="CSH254" s="66"/>
      <c r="CSI254" s="66"/>
      <c r="CSJ254" s="66"/>
      <c r="CSK254" s="66"/>
      <c r="CSL254" s="66"/>
      <c r="CSM254" s="66"/>
      <c r="CSN254" s="66"/>
      <c r="CSO254" s="66"/>
      <c r="CSP254" s="66"/>
      <c r="CSQ254" s="66"/>
      <c r="CSR254" s="66"/>
      <c r="CSS254" s="66"/>
      <c r="CST254" s="66"/>
      <c r="CSU254" s="66"/>
      <c r="CSV254" s="66"/>
      <c r="CSW254" s="66"/>
      <c r="CSX254" s="66"/>
      <c r="CSY254" s="66"/>
      <c r="CSZ254" s="66"/>
      <c r="CTA254" s="66"/>
      <c r="CTB254" s="66"/>
      <c r="CTC254" s="66"/>
      <c r="CTD254" s="66"/>
      <c r="CTE254" s="66"/>
      <c r="CTF254" s="66"/>
      <c r="CTG254" s="66"/>
      <c r="CTH254" s="66"/>
      <c r="CTI254" s="66"/>
      <c r="CTJ254" s="66"/>
      <c r="CTK254" s="66"/>
      <c r="CTL254" s="66"/>
      <c r="CTM254" s="66"/>
      <c r="CTN254" s="66"/>
      <c r="CTO254" s="66"/>
      <c r="CTP254" s="66"/>
      <c r="CTQ254" s="66"/>
      <c r="CTR254" s="66"/>
      <c r="CTS254" s="66"/>
      <c r="CTT254" s="66"/>
      <c r="CTU254" s="66"/>
      <c r="CTV254" s="66"/>
      <c r="CTW254" s="66"/>
      <c r="CTX254" s="66"/>
      <c r="CTY254" s="66"/>
      <c r="CTZ254" s="66"/>
      <c r="CUA254" s="66"/>
      <c r="CUB254" s="66"/>
      <c r="CUC254" s="66"/>
      <c r="CUD254" s="66"/>
      <c r="CUE254" s="66"/>
      <c r="CUF254" s="66"/>
      <c r="CUG254" s="66"/>
      <c r="CUH254" s="66"/>
      <c r="CUI254" s="66"/>
      <c r="CUJ254" s="66"/>
      <c r="CUK254" s="66"/>
      <c r="CUL254" s="66"/>
      <c r="CUM254" s="66"/>
      <c r="CUN254" s="66"/>
      <c r="CUO254" s="66"/>
      <c r="CUP254" s="66"/>
      <c r="CUQ254" s="66"/>
      <c r="CUR254" s="66"/>
      <c r="CUS254" s="66"/>
      <c r="CUT254" s="66"/>
      <c r="CUU254" s="66"/>
      <c r="CUV254" s="66"/>
      <c r="CUW254" s="66"/>
      <c r="CUX254" s="66"/>
      <c r="CUY254" s="66"/>
      <c r="CUZ254" s="66"/>
      <c r="CVA254" s="66"/>
      <c r="CVB254" s="66"/>
      <c r="CVC254" s="66"/>
      <c r="CVD254" s="66"/>
      <c r="CVE254" s="66"/>
      <c r="CVF254" s="66"/>
      <c r="CVG254" s="66"/>
      <c r="CVH254" s="66"/>
      <c r="CVI254" s="66"/>
      <c r="CVJ254" s="66"/>
      <c r="CVK254" s="66"/>
      <c r="CVL254" s="66"/>
      <c r="CVM254" s="66"/>
      <c r="CVN254" s="66"/>
      <c r="CVO254" s="66"/>
      <c r="CVP254" s="66"/>
      <c r="CVQ254" s="66"/>
      <c r="CVR254" s="66"/>
      <c r="CVS254" s="66"/>
      <c r="CVT254" s="66"/>
      <c r="CVU254" s="66"/>
      <c r="CVV254" s="66"/>
      <c r="CVW254" s="66"/>
      <c r="CVX254" s="66"/>
      <c r="CVY254" s="66"/>
      <c r="CVZ254" s="66"/>
      <c r="CWA254" s="66"/>
      <c r="CWB254" s="66"/>
      <c r="CWC254" s="66"/>
      <c r="CWD254" s="66"/>
      <c r="CWE254" s="66"/>
      <c r="CWF254" s="66"/>
      <c r="CWG254" s="66"/>
      <c r="CWH254" s="66"/>
      <c r="CWI254" s="66"/>
      <c r="CWJ254" s="66"/>
      <c r="CWK254" s="66"/>
      <c r="CWL254" s="66"/>
      <c r="CWM254" s="66"/>
      <c r="CWN254" s="66"/>
      <c r="CWO254" s="66"/>
      <c r="CWP254" s="66"/>
      <c r="CWQ254" s="66"/>
      <c r="CWR254" s="66"/>
      <c r="CWS254" s="66"/>
      <c r="CWT254" s="66"/>
      <c r="CWU254" s="66"/>
      <c r="CWV254" s="66"/>
      <c r="CWW254" s="66"/>
      <c r="CWX254" s="66"/>
      <c r="CWY254" s="66"/>
      <c r="CWZ254" s="66"/>
      <c r="CXA254" s="66"/>
      <c r="CXB254" s="66"/>
      <c r="CXC254" s="66"/>
      <c r="CXD254" s="66"/>
      <c r="CXE254" s="66"/>
      <c r="CXF254" s="66"/>
      <c r="CXG254" s="66"/>
      <c r="CXH254" s="66"/>
      <c r="CXI254" s="66"/>
      <c r="CXJ254" s="66"/>
      <c r="CXK254" s="66"/>
      <c r="CXL254" s="66"/>
      <c r="CXM254" s="66"/>
      <c r="CXN254" s="66"/>
      <c r="CXO254" s="66"/>
      <c r="CXP254" s="66"/>
      <c r="CXQ254" s="66"/>
      <c r="CXR254" s="66"/>
      <c r="CXS254" s="66"/>
      <c r="CXT254" s="66"/>
      <c r="CXU254" s="66"/>
      <c r="CXV254" s="66"/>
      <c r="CXW254" s="66"/>
      <c r="CXX254" s="66"/>
      <c r="CXY254" s="66"/>
      <c r="CXZ254" s="66"/>
      <c r="CYA254" s="66"/>
      <c r="CYB254" s="66"/>
      <c r="CYC254" s="66"/>
      <c r="CYD254" s="66"/>
      <c r="CYE254" s="66"/>
      <c r="CYF254" s="66"/>
      <c r="CYG254" s="66"/>
      <c r="CYH254" s="66"/>
      <c r="CYI254" s="66"/>
      <c r="CYJ254" s="66"/>
      <c r="CYK254" s="66"/>
      <c r="CYL254" s="66"/>
      <c r="CYM254" s="66"/>
      <c r="CYN254" s="66"/>
      <c r="CYO254" s="66"/>
      <c r="CYP254" s="66"/>
      <c r="CYQ254" s="66"/>
      <c r="CYR254" s="66"/>
      <c r="CYS254" s="66"/>
      <c r="CYT254" s="66"/>
      <c r="CYU254" s="66"/>
      <c r="CYV254" s="66"/>
      <c r="CYW254" s="66"/>
      <c r="CYX254" s="66"/>
      <c r="CYY254" s="66"/>
      <c r="CYZ254" s="66"/>
      <c r="CZA254" s="66"/>
      <c r="CZB254" s="66"/>
      <c r="CZC254" s="66"/>
      <c r="CZD254" s="66"/>
      <c r="CZE254" s="66"/>
      <c r="CZF254" s="66"/>
      <c r="CZG254" s="66"/>
      <c r="CZH254" s="66"/>
      <c r="CZI254" s="66"/>
      <c r="CZJ254" s="66"/>
      <c r="CZK254" s="66"/>
      <c r="CZL254" s="66"/>
      <c r="CZM254" s="66"/>
      <c r="CZN254" s="66"/>
      <c r="CZO254" s="66"/>
      <c r="CZP254" s="66"/>
      <c r="CZQ254" s="66"/>
      <c r="CZR254" s="66"/>
      <c r="CZS254" s="66"/>
      <c r="CZT254" s="66"/>
      <c r="CZU254" s="66"/>
      <c r="CZV254" s="66"/>
      <c r="CZW254" s="66"/>
      <c r="CZX254" s="66"/>
      <c r="CZY254" s="66"/>
      <c r="CZZ254" s="66"/>
      <c r="DAA254" s="66"/>
      <c r="DAB254" s="66"/>
      <c r="DAC254" s="66"/>
      <c r="DAD254" s="66"/>
      <c r="DAE254" s="66"/>
      <c r="DAF254" s="66"/>
      <c r="DAG254" s="66"/>
      <c r="DAH254" s="66"/>
      <c r="DAI254" s="66"/>
      <c r="DAJ254" s="66"/>
      <c r="DAK254" s="66"/>
      <c r="DAL254" s="66"/>
      <c r="DAM254" s="66"/>
      <c r="DAN254" s="66"/>
      <c r="DAO254" s="66"/>
      <c r="DAP254" s="66"/>
      <c r="DAQ254" s="66"/>
      <c r="DAR254" s="66"/>
      <c r="DAS254" s="66"/>
      <c r="DAT254" s="66"/>
      <c r="DAU254" s="66"/>
      <c r="DAV254" s="66"/>
      <c r="DAW254" s="66"/>
      <c r="DAX254" s="66"/>
      <c r="DAY254" s="66"/>
      <c r="DAZ254" s="66"/>
      <c r="DBA254" s="66"/>
      <c r="DBB254" s="66"/>
      <c r="DBC254" s="66"/>
      <c r="DBD254" s="66"/>
      <c r="DBE254" s="66"/>
      <c r="DBF254" s="66"/>
      <c r="DBG254" s="66"/>
      <c r="DBH254" s="66"/>
      <c r="DBI254" s="66"/>
      <c r="DBJ254" s="66"/>
      <c r="DBK254" s="66"/>
      <c r="DBL254" s="66"/>
      <c r="DBM254" s="66"/>
      <c r="DBN254" s="66"/>
      <c r="DBO254" s="66"/>
      <c r="DBP254" s="66"/>
      <c r="DBQ254" s="66"/>
      <c r="DBR254" s="66"/>
      <c r="DBS254" s="66"/>
      <c r="DBT254" s="66"/>
      <c r="DBU254" s="66"/>
      <c r="DBV254" s="66"/>
      <c r="DBW254" s="66"/>
      <c r="DBX254" s="66"/>
      <c r="DBY254" s="66"/>
      <c r="DBZ254" s="66"/>
      <c r="DCA254" s="66"/>
      <c r="DCB254" s="66"/>
      <c r="DCC254" s="66"/>
      <c r="DCD254" s="66"/>
      <c r="DCE254" s="66"/>
      <c r="DCF254" s="66"/>
      <c r="DCG254" s="66"/>
      <c r="DCH254" s="66"/>
      <c r="DCI254" s="66"/>
      <c r="DCJ254" s="66"/>
      <c r="DCK254" s="66"/>
      <c r="DCL254" s="66"/>
      <c r="DCM254" s="66"/>
      <c r="DCN254" s="66"/>
      <c r="DCO254" s="66"/>
      <c r="DCP254" s="66"/>
      <c r="DCQ254" s="66"/>
      <c r="DCR254" s="66"/>
      <c r="DCS254" s="66"/>
      <c r="DCT254" s="66"/>
      <c r="DCU254" s="66"/>
      <c r="DCV254" s="66"/>
      <c r="DCW254" s="66"/>
      <c r="DCX254" s="66"/>
      <c r="DCY254" s="66"/>
      <c r="DCZ254" s="66"/>
      <c r="DDA254" s="66"/>
      <c r="DDB254" s="66"/>
      <c r="DDC254" s="66"/>
      <c r="DDD254" s="66"/>
      <c r="DDE254" s="66"/>
      <c r="DDF254" s="66"/>
      <c r="DDG254" s="66"/>
      <c r="DDH254" s="66"/>
      <c r="DDI254" s="66"/>
      <c r="DDJ254" s="66"/>
      <c r="DDK254" s="66"/>
      <c r="DDL254" s="66"/>
      <c r="DDM254" s="66"/>
      <c r="DDN254" s="66"/>
      <c r="DDO254" s="66"/>
      <c r="DDP254" s="66"/>
      <c r="DDQ254" s="66"/>
      <c r="DDR254" s="66"/>
      <c r="DDS254" s="66"/>
      <c r="DDT254" s="66"/>
      <c r="DDU254" s="66"/>
      <c r="DDV254" s="66"/>
      <c r="DDW254" s="66"/>
      <c r="DDX254" s="66"/>
      <c r="DDY254" s="66"/>
      <c r="DDZ254" s="66"/>
      <c r="DEA254" s="66"/>
      <c r="DEB254" s="66"/>
      <c r="DEC254" s="66"/>
      <c r="DED254" s="66"/>
      <c r="DEE254" s="66"/>
      <c r="DEF254" s="66"/>
      <c r="DEG254" s="66"/>
      <c r="DEH254" s="66"/>
      <c r="DEI254" s="66"/>
      <c r="DEJ254" s="66"/>
      <c r="DEK254" s="66"/>
      <c r="DEL254" s="66"/>
      <c r="DEM254" s="66"/>
      <c r="DEN254" s="66"/>
      <c r="DEO254" s="66"/>
      <c r="DEP254" s="66"/>
      <c r="DEQ254" s="66"/>
      <c r="DER254" s="66"/>
      <c r="DES254" s="66"/>
      <c r="DET254" s="66"/>
      <c r="DEU254" s="66"/>
      <c r="DEV254" s="66"/>
      <c r="DEW254" s="66"/>
      <c r="DEX254" s="66"/>
      <c r="DEY254" s="66"/>
      <c r="DEZ254" s="66"/>
      <c r="DFA254" s="66"/>
      <c r="DFB254" s="66"/>
      <c r="DFC254" s="66"/>
      <c r="DFD254" s="66"/>
      <c r="DFE254" s="66"/>
      <c r="DFF254" s="66"/>
      <c r="DFG254" s="66"/>
      <c r="DFH254" s="66"/>
      <c r="DFI254" s="66"/>
      <c r="DFJ254" s="66"/>
      <c r="DFK254" s="66"/>
      <c r="DFL254" s="66"/>
      <c r="DFM254" s="66"/>
      <c r="DFN254" s="66"/>
      <c r="DFO254" s="66"/>
      <c r="DFP254" s="66"/>
      <c r="DFQ254" s="66"/>
      <c r="DFR254" s="66"/>
      <c r="DFS254" s="66"/>
      <c r="DFT254" s="66"/>
      <c r="DFU254" s="66"/>
      <c r="DFV254" s="66"/>
      <c r="DFW254" s="66"/>
      <c r="DFX254" s="66"/>
      <c r="DFY254" s="66"/>
      <c r="DFZ254" s="66"/>
      <c r="DGA254" s="66"/>
      <c r="DGB254" s="66"/>
      <c r="DGC254" s="66"/>
      <c r="DGD254" s="66"/>
      <c r="DGE254" s="66"/>
      <c r="DGF254" s="66"/>
      <c r="DGG254" s="66"/>
      <c r="DGH254" s="66"/>
      <c r="DGI254" s="66"/>
      <c r="DGJ254" s="66"/>
      <c r="DGK254" s="66"/>
      <c r="DGL254" s="66"/>
      <c r="DGM254" s="66"/>
      <c r="DGN254" s="66"/>
      <c r="DGO254" s="66"/>
      <c r="DGP254" s="66"/>
      <c r="DGQ254" s="66"/>
      <c r="DGR254" s="66"/>
      <c r="DGS254" s="66"/>
      <c r="DGT254" s="66"/>
      <c r="DGU254" s="66"/>
      <c r="DGV254" s="66"/>
      <c r="DGW254" s="66"/>
      <c r="DGX254" s="66"/>
      <c r="DGY254" s="66"/>
      <c r="DGZ254" s="66"/>
      <c r="DHA254" s="66"/>
      <c r="DHB254" s="66"/>
      <c r="DHC254" s="66"/>
      <c r="DHD254" s="66"/>
      <c r="DHE254" s="66"/>
      <c r="DHF254" s="66"/>
      <c r="DHG254" s="66"/>
      <c r="DHH254" s="66"/>
      <c r="DHI254" s="66"/>
      <c r="DHJ254" s="66"/>
      <c r="DHK254" s="66"/>
      <c r="DHL254" s="66"/>
      <c r="DHM254" s="66"/>
      <c r="DHN254" s="66"/>
      <c r="DHO254" s="66"/>
      <c r="DHP254" s="66"/>
      <c r="DHQ254" s="66"/>
      <c r="DHR254" s="66"/>
      <c r="DHS254" s="66"/>
      <c r="DHT254" s="66"/>
      <c r="DHU254" s="66"/>
      <c r="DHV254" s="66"/>
      <c r="DHW254" s="66"/>
      <c r="DHX254" s="66"/>
      <c r="DHY254" s="66"/>
      <c r="DHZ254" s="66"/>
      <c r="DIA254" s="66"/>
      <c r="DIB254" s="66"/>
      <c r="DIC254" s="66"/>
      <c r="DID254" s="66"/>
      <c r="DIE254" s="66"/>
      <c r="DIF254" s="66"/>
      <c r="DIG254" s="66"/>
      <c r="DIH254" s="66"/>
      <c r="DII254" s="66"/>
      <c r="DIJ254" s="66"/>
      <c r="DIK254" s="66"/>
      <c r="DIL254" s="66"/>
      <c r="DIM254" s="66"/>
      <c r="DIN254" s="66"/>
      <c r="DIO254" s="66"/>
      <c r="DIP254" s="66"/>
      <c r="DIQ254" s="66"/>
      <c r="DIR254" s="66"/>
      <c r="DIS254" s="66"/>
      <c r="DIT254" s="66"/>
      <c r="DIU254" s="66"/>
      <c r="DIV254" s="66"/>
      <c r="DIW254" s="66"/>
      <c r="DIX254" s="66"/>
      <c r="DIY254" s="66"/>
      <c r="DIZ254" s="66"/>
      <c r="DJA254" s="66"/>
      <c r="DJB254" s="66"/>
      <c r="DJC254" s="66"/>
      <c r="DJD254" s="66"/>
      <c r="DJE254" s="66"/>
      <c r="DJF254" s="66"/>
      <c r="DJG254" s="66"/>
      <c r="DJH254" s="66"/>
      <c r="DJI254" s="66"/>
      <c r="DJJ254" s="66"/>
      <c r="DJK254" s="66"/>
      <c r="DJL254" s="66"/>
      <c r="DJM254" s="66"/>
      <c r="DJN254" s="66"/>
      <c r="DJO254" s="66"/>
      <c r="DJP254" s="66"/>
      <c r="DJQ254" s="66"/>
      <c r="DJR254" s="66"/>
      <c r="DJS254" s="66"/>
      <c r="DJT254" s="66"/>
      <c r="DJU254" s="66"/>
      <c r="DJV254" s="66"/>
      <c r="DJW254" s="66"/>
      <c r="DJX254" s="66"/>
      <c r="DJY254" s="66"/>
      <c r="DJZ254" s="66"/>
      <c r="DKA254" s="66"/>
      <c r="DKB254" s="66"/>
      <c r="DKC254" s="66"/>
      <c r="DKD254" s="66"/>
      <c r="DKE254" s="66"/>
      <c r="DKF254" s="66"/>
      <c r="DKG254" s="66"/>
      <c r="DKH254" s="66"/>
      <c r="DKI254" s="66"/>
      <c r="DKJ254" s="66"/>
      <c r="DKK254" s="66"/>
      <c r="DKL254" s="66"/>
      <c r="DKM254" s="66"/>
      <c r="DKN254" s="66"/>
      <c r="DKO254" s="66"/>
      <c r="DKP254" s="66"/>
      <c r="DKQ254" s="66"/>
      <c r="DKR254" s="66"/>
      <c r="DKS254" s="66"/>
      <c r="DKT254" s="66"/>
      <c r="DKU254" s="66"/>
      <c r="DKV254" s="66"/>
      <c r="DKW254" s="66"/>
      <c r="DKX254" s="66"/>
      <c r="DKY254" s="66"/>
      <c r="DKZ254" s="66"/>
      <c r="DLA254" s="66"/>
      <c r="DLB254" s="66"/>
      <c r="DLC254" s="66"/>
      <c r="DLD254" s="66"/>
      <c r="DLE254" s="66"/>
      <c r="DLF254" s="66"/>
      <c r="DLG254" s="66"/>
      <c r="DLH254" s="66"/>
      <c r="DLI254" s="66"/>
      <c r="DLJ254" s="66"/>
      <c r="DLK254" s="66"/>
      <c r="DLL254" s="66"/>
      <c r="DLM254" s="66"/>
      <c r="DLN254" s="66"/>
      <c r="DLO254" s="66"/>
      <c r="DLP254" s="66"/>
      <c r="DLQ254" s="66"/>
      <c r="DLR254" s="66"/>
      <c r="DLS254" s="66"/>
      <c r="DLT254" s="66"/>
      <c r="DLU254" s="66"/>
      <c r="DLV254" s="66"/>
      <c r="DLW254" s="66"/>
      <c r="DLX254" s="66"/>
      <c r="DLY254" s="66"/>
      <c r="DLZ254" s="66"/>
      <c r="DMA254" s="66"/>
      <c r="DMB254" s="66"/>
      <c r="DMC254" s="66"/>
      <c r="DMD254" s="66"/>
      <c r="DME254" s="66"/>
      <c r="DMF254" s="66"/>
      <c r="DMG254" s="66"/>
      <c r="DMH254" s="66"/>
      <c r="DMI254" s="66"/>
      <c r="DMJ254" s="66"/>
      <c r="DMK254" s="66"/>
      <c r="DML254" s="66"/>
      <c r="DMM254" s="66"/>
      <c r="DMN254" s="66"/>
      <c r="DMO254" s="66"/>
      <c r="DMP254" s="66"/>
      <c r="DMQ254" s="66"/>
      <c r="DMR254" s="66"/>
      <c r="DMS254" s="66"/>
      <c r="DMT254" s="66"/>
      <c r="DMU254" s="66"/>
      <c r="DMV254" s="66"/>
      <c r="DMW254" s="66"/>
      <c r="DMX254" s="66"/>
      <c r="DMY254" s="66"/>
      <c r="DMZ254" s="66"/>
      <c r="DNA254" s="66"/>
      <c r="DNB254" s="66"/>
      <c r="DNC254" s="66"/>
      <c r="DND254" s="66"/>
      <c r="DNE254" s="66"/>
      <c r="DNF254" s="66"/>
      <c r="DNG254" s="66"/>
      <c r="DNH254" s="66"/>
      <c r="DNI254" s="66"/>
      <c r="DNJ254" s="66"/>
      <c r="DNK254" s="66"/>
      <c r="DNL254" s="66"/>
      <c r="DNM254" s="66"/>
      <c r="DNN254" s="66"/>
      <c r="DNO254" s="66"/>
      <c r="DNP254" s="66"/>
      <c r="DNQ254" s="66"/>
      <c r="DNR254" s="66"/>
      <c r="DNS254" s="66"/>
      <c r="DNT254" s="66"/>
      <c r="DNU254" s="66"/>
      <c r="DNV254" s="66"/>
      <c r="DNW254" s="66"/>
      <c r="DNX254" s="66"/>
      <c r="DNY254" s="66"/>
      <c r="DNZ254" s="66"/>
      <c r="DOA254" s="66"/>
      <c r="DOB254" s="66"/>
      <c r="DOC254" s="66"/>
      <c r="DOD254" s="66"/>
      <c r="DOE254" s="66"/>
      <c r="DOF254" s="66"/>
      <c r="DOG254" s="66"/>
      <c r="DOH254" s="66"/>
      <c r="DOI254" s="66"/>
      <c r="DOJ254" s="66"/>
      <c r="DOK254" s="66"/>
      <c r="DOL254" s="66"/>
      <c r="DOM254" s="66"/>
      <c r="DON254" s="66"/>
      <c r="DOO254" s="66"/>
      <c r="DOP254" s="66"/>
      <c r="DOQ254" s="66"/>
      <c r="DOR254" s="66"/>
      <c r="DOS254" s="66"/>
      <c r="DOT254" s="66"/>
      <c r="DOU254" s="66"/>
      <c r="DOV254" s="66"/>
      <c r="DOW254" s="66"/>
      <c r="DOX254" s="66"/>
      <c r="DOY254" s="66"/>
      <c r="DOZ254" s="66"/>
      <c r="DPA254" s="66"/>
      <c r="DPB254" s="66"/>
      <c r="DPC254" s="66"/>
      <c r="DPD254" s="66"/>
      <c r="DPE254" s="66"/>
      <c r="DPF254" s="66"/>
      <c r="DPG254" s="66"/>
      <c r="DPH254" s="66"/>
      <c r="DPI254" s="66"/>
      <c r="DPJ254" s="66"/>
      <c r="DPK254" s="66"/>
      <c r="DPL254" s="66"/>
      <c r="DPM254" s="66"/>
      <c r="DPN254" s="66"/>
      <c r="DPO254" s="66"/>
      <c r="DPP254" s="66"/>
      <c r="DPQ254" s="66"/>
      <c r="DPR254" s="66"/>
      <c r="DPS254" s="66"/>
      <c r="DPT254" s="66"/>
      <c r="DPU254" s="66"/>
      <c r="DPV254" s="66"/>
      <c r="DPW254" s="66"/>
      <c r="DPX254" s="66"/>
      <c r="DPY254" s="66"/>
      <c r="DPZ254" s="66"/>
      <c r="DQA254" s="66"/>
      <c r="DQB254" s="66"/>
      <c r="DQC254" s="66"/>
      <c r="DQD254" s="66"/>
      <c r="DQE254" s="66"/>
      <c r="DQF254" s="66"/>
      <c r="DQG254" s="66"/>
      <c r="DQH254" s="66"/>
      <c r="DQI254" s="66"/>
      <c r="DQJ254" s="66"/>
      <c r="DQK254" s="66"/>
      <c r="DQL254" s="66"/>
      <c r="DQM254" s="66"/>
      <c r="DQN254" s="66"/>
      <c r="DQO254" s="66"/>
      <c r="DQP254" s="66"/>
      <c r="DQQ254" s="66"/>
      <c r="DQR254" s="66"/>
      <c r="DQS254" s="66"/>
      <c r="DQT254" s="66"/>
      <c r="DQU254" s="66"/>
      <c r="DQV254" s="66"/>
      <c r="DQW254" s="66"/>
      <c r="DQX254" s="66"/>
      <c r="DQY254" s="66"/>
      <c r="DQZ254" s="66"/>
      <c r="DRA254" s="66"/>
      <c r="DRB254" s="66"/>
      <c r="DRC254" s="66"/>
      <c r="DRD254" s="66"/>
      <c r="DRE254" s="66"/>
      <c r="DRF254" s="66"/>
      <c r="DRG254" s="66"/>
      <c r="DRH254" s="66"/>
      <c r="DRI254" s="66"/>
      <c r="DRJ254" s="66"/>
      <c r="DRK254" s="66"/>
      <c r="DRL254" s="66"/>
      <c r="DRM254" s="66"/>
      <c r="DRN254" s="66"/>
      <c r="DRO254" s="66"/>
      <c r="DRP254" s="66"/>
      <c r="DRQ254" s="66"/>
      <c r="DRR254" s="66"/>
      <c r="DRS254" s="66"/>
      <c r="DRT254" s="66"/>
      <c r="DRU254" s="66"/>
      <c r="DRV254" s="66"/>
      <c r="DRW254" s="66"/>
      <c r="DRX254" s="66"/>
      <c r="DRY254" s="66"/>
      <c r="DRZ254" s="66"/>
      <c r="DSA254" s="66"/>
      <c r="DSB254" s="66"/>
      <c r="DSC254" s="66"/>
      <c r="DSD254" s="66"/>
      <c r="DSE254" s="66"/>
      <c r="DSF254" s="66"/>
      <c r="DSG254" s="66"/>
      <c r="DSH254" s="66"/>
      <c r="DSI254" s="66"/>
      <c r="DSJ254" s="66"/>
      <c r="DSK254" s="66"/>
      <c r="DSL254" s="66"/>
      <c r="DSM254" s="66"/>
      <c r="DSN254" s="66"/>
      <c r="DSO254" s="66"/>
      <c r="DSP254" s="66"/>
      <c r="DSQ254" s="66"/>
      <c r="DSR254" s="66"/>
      <c r="DSS254" s="66"/>
      <c r="DST254" s="66"/>
      <c r="DSU254" s="66"/>
      <c r="DSV254" s="66"/>
      <c r="DSW254" s="66"/>
      <c r="DSX254" s="66"/>
      <c r="DSY254" s="66"/>
      <c r="DSZ254" s="66"/>
      <c r="DTA254" s="66"/>
      <c r="DTB254" s="66"/>
      <c r="DTC254" s="66"/>
      <c r="DTD254" s="66"/>
      <c r="DTE254" s="66"/>
      <c r="DTF254" s="66"/>
      <c r="DTG254" s="66"/>
      <c r="DTH254" s="66"/>
      <c r="DTI254" s="66"/>
      <c r="DTJ254" s="66"/>
      <c r="DTK254" s="66"/>
      <c r="DTL254" s="66"/>
      <c r="DTM254" s="66"/>
      <c r="DTN254" s="66"/>
      <c r="DTO254" s="66"/>
      <c r="DTP254" s="66"/>
      <c r="DTQ254" s="66"/>
      <c r="DTR254" s="66"/>
      <c r="DTS254" s="66"/>
      <c r="DTT254" s="66"/>
      <c r="DTU254" s="66"/>
      <c r="DTV254" s="66"/>
      <c r="DTW254" s="66"/>
      <c r="DTX254" s="66"/>
      <c r="DTY254" s="66"/>
      <c r="DTZ254" s="66"/>
      <c r="DUA254" s="66"/>
      <c r="DUB254" s="66"/>
      <c r="DUC254" s="66"/>
      <c r="DUD254" s="66"/>
      <c r="DUE254" s="66"/>
      <c r="DUF254" s="66"/>
      <c r="DUG254" s="66"/>
      <c r="DUH254" s="66"/>
      <c r="DUI254" s="66"/>
      <c r="DUJ254" s="66"/>
      <c r="DUK254" s="66"/>
      <c r="DUL254" s="66"/>
      <c r="DUM254" s="66"/>
      <c r="DUN254" s="66"/>
      <c r="DUO254" s="66"/>
      <c r="DUP254" s="66"/>
      <c r="DUQ254" s="66"/>
      <c r="DUR254" s="66"/>
      <c r="DUS254" s="66"/>
      <c r="DUT254" s="66"/>
      <c r="DUU254" s="66"/>
      <c r="DUV254" s="66"/>
      <c r="DUW254" s="66"/>
      <c r="DUX254" s="66"/>
      <c r="DUY254" s="66"/>
      <c r="DUZ254" s="66"/>
      <c r="DVA254" s="66"/>
      <c r="DVB254" s="66"/>
      <c r="DVC254" s="66"/>
      <c r="DVD254" s="66"/>
      <c r="DVE254" s="66"/>
      <c r="DVF254" s="66"/>
      <c r="DVG254" s="66"/>
      <c r="DVH254" s="66"/>
      <c r="DVI254" s="66"/>
      <c r="DVJ254" s="66"/>
      <c r="DVK254" s="66"/>
      <c r="DVL254" s="66"/>
      <c r="DVM254" s="66"/>
      <c r="DVN254" s="66"/>
      <c r="DVO254" s="66"/>
      <c r="DVP254" s="66"/>
      <c r="DVQ254" s="66"/>
      <c r="DVR254" s="66"/>
      <c r="DVS254" s="66"/>
      <c r="DVT254" s="66"/>
      <c r="DVU254" s="66"/>
      <c r="DVV254" s="66"/>
      <c r="DVW254" s="66"/>
      <c r="DVX254" s="66"/>
      <c r="DVY254" s="66"/>
      <c r="DVZ254" s="66"/>
      <c r="DWA254" s="66"/>
      <c r="DWB254" s="66"/>
      <c r="DWC254" s="66"/>
      <c r="DWD254" s="66"/>
      <c r="DWE254" s="66"/>
      <c r="DWF254" s="66"/>
      <c r="DWG254" s="66"/>
      <c r="DWH254" s="66"/>
      <c r="DWI254" s="66"/>
      <c r="DWJ254" s="66"/>
      <c r="DWK254" s="66"/>
      <c r="DWL254" s="66"/>
      <c r="DWM254" s="66"/>
      <c r="DWN254" s="66"/>
      <c r="DWO254" s="66"/>
      <c r="DWP254" s="66"/>
      <c r="DWQ254" s="66"/>
      <c r="DWR254" s="66"/>
      <c r="DWS254" s="66"/>
      <c r="DWT254" s="66"/>
      <c r="DWU254" s="66"/>
      <c r="DWV254" s="66"/>
      <c r="DWW254" s="66"/>
      <c r="DWX254" s="66"/>
      <c r="DWY254" s="66"/>
      <c r="DWZ254" s="66"/>
      <c r="DXA254" s="66"/>
      <c r="DXB254" s="66"/>
      <c r="DXC254" s="66"/>
      <c r="DXD254" s="66"/>
      <c r="DXE254" s="66"/>
      <c r="DXF254" s="66"/>
      <c r="DXG254" s="66"/>
      <c r="DXH254" s="66"/>
      <c r="DXI254" s="66"/>
      <c r="DXJ254" s="66"/>
      <c r="DXK254" s="66"/>
      <c r="DXL254" s="66"/>
      <c r="DXM254" s="66"/>
      <c r="DXN254" s="66"/>
      <c r="DXO254" s="66"/>
      <c r="DXP254" s="66"/>
      <c r="DXQ254" s="66"/>
      <c r="DXR254" s="66"/>
      <c r="DXS254" s="66"/>
      <c r="DXT254" s="66"/>
      <c r="DXU254" s="66"/>
      <c r="DXV254" s="66"/>
      <c r="DXW254" s="66"/>
      <c r="DXX254" s="66"/>
      <c r="DXY254" s="66"/>
      <c r="DXZ254" s="66"/>
      <c r="DYA254" s="66"/>
      <c r="DYB254" s="66"/>
      <c r="DYC254" s="66"/>
      <c r="DYD254" s="66"/>
      <c r="DYE254" s="66"/>
      <c r="DYF254" s="66"/>
      <c r="DYG254" s="66"/>
      <c r="DYH254" s="66"/>
      <c r="DYI254" s="66"/>
      <c r="DYJ254" s="66"/>
      <c r="DYK254" s="66"/>
      <c r="DYL254" s="66"/>
      <c r="DYM254" s="66"/>
      <c r="DYN254" s="66"/>
      <c r="DYO254" s="66"/>
      <c r="DYP254" s="66"/>
      <c r="DYQ254" s="66"/>
      <c r="DYR254" s="66"/>
      <c r="DYS254" s="66"/>
      <c r="DYT254" s="66"/>
      <c r="DYU254" s="66"/>
      <c r="DYV254" s="66"/>
      <c r="DYW254" s="66"/>
      <c r="DYX254" s="66"/>
      <c r="DYY254" s="66"/>
      <c r="DYZ254" s="66"/>
      <c r="DZA254" s="66"/>
      <c r="DZB254" s="66"/>
      <c r="DZC254" s="66"/>
      <c r="DZD254" s="66"/>
      <c r="DZE254" s="66"/>
      <c r="DZF254" s="66"/>
      <c r="DZG254" s="66"/>
      <c r="DZH254" s="66"/>
      <c r="DZI254" s="66"/>
      <c r="DZJ254" s="66"/>
      <c r="DZK254" s="66"/>
      <c r="DZL254" s="66"/>
      <c r="DZM254" s="66"/>
      <c r="DZN254" s="66"/>
      <c r="DZO254" s="66"/>
      <c r="DZP254" s="66"/>
      <c r="DZQ254" s="66"/>
      <c r="DZR254" s="66"/>
      <c r="DZS254" s="66"/>
      <c r="DZT254" s="66"/>
      <c r="DZU254" s="66"/>
      <c r="DZV254" s="66"/>
      <c r="DZW254" s="66"/>
      <c r="DZX254" s="66"/>
      <c r="DZY254" s="66"/>
      <c r="DZZ254" s="66"/>
      <c r="EAA254" s="66"/>
      <c r="EAB254" s="66"/>
      <c r="EAC254" s="66"/>
      <c r="EAD254" s="66"/>
      <c r="EAE254" s="66"/>
      <c r="EAF254" s="66"/>
      <c r="EAG254" s="66"/>
      <c r="EAH254" s="66"/>
      <c r="EAI254" s="66"/>
      <c r="EAJ254" s="66"/>
      <c r="EAK254" s="66"/>
      <c r="EAL254" s="66"/>
      <c r="EAM254" s="66"/>
      <c r="EAN254" s="66"/>
      <c r="EAO254" s="66"/>
      <c r="EAP254" s="66"/>
      <c r="EAQ254" s="66"/>
      <c r="EAR254" s="66"/>
      <c r="EAS254" s="66"/>
      <c r="EAT254" s="66"/>
      <c r="EAU254" s="66"/>
      <c r="EAV254" s="66"/>
      <c r="EAW254" s="66"/>
      <c r="EAX254" s="66"/>
      <c r="EAY254" s="66"/>
      <c r="EAZ254" s="66"/>
      <c r="EBA254" s="66"/>
      <c r="EBB254" s="66"/>
      <c r="EBC254" s="66"/>
      <c r="EBD254" s="66"/>
      <c r="EBE254" s="66"/>
      <c r="EBF254" s="66"/>
      <c r="EBG254" s="66"/>
      <c r="EBH254" s="66"/>
      <c r="EBI254" s="66"/>
      <c r="EBJ254" s="66"/>
      <c r="EBK254" s="66"/>
      <c r="EBL254" s="66"/>
      <c r="EBM254" s="66"/>
      <c r="EBN254" s="66"/>
      <c r="EBO254" s="66"/>
      <c r="EBP254" s="66"/>
      <c r="EBQ254" s="66"/>
      <c r="EBR254" s="66"/>
      <c r="EBS254" s="66"/>
      <c r="EBT254" s="66"/>
      <c r="EBU254" s="66"/>
      <c r="EBV254" s="66"/>
      <c r="EBW254" s="66"/>
      <c r="EBX254" s="66"/>
      <c r="EBY254" s="66"/>
      <c r="EBZ254" s="66"/>
      <c r="ECA254" s="66"/>
      <c r="ECB254" s="66"/>
      <c r="ECC254" s="66"/>
      <c r="ECD254" s="66"/>
      <c r="ECE254" s="66"/>
      <c r="ECF254" s="66"/>
      <c r="ECG254" s="66"/>
      <c r="ECH254" s="66"/>
      <c r="ECI254" s="66"/>
      <c r="ECJ254" s="66"/>
      <c r="ECK254" s="66"/>
      <c r="ECL254" s="66"/>
      <c r="ECM254" s="66"/>
      <c r="ECN254" s="66"/>
      <c r="ECO254" s="66"/>
      <c r="ECP254" s="66"/>
      <c r="ECQ254" s="66"/>
      <c r="ECR254" s="66"/>
      <c r="ECS254" s="66"/>
      <c r="ECT254" s="66"/>
      <c r="ECU254" s="66"/>
      <c r="ECV254" s="66"/>
      <c r="ECW254" s="66"/>
      <c r="ECX254" s="66"/>
      <c r="ECY254" s="66"/>
      <c r="ECZ254" s="66"/>
      <c r="EDA254" s="66"/>
      <c r="EDB254" s="66"/>
      <c r="EDC254" s="66"/>
      <c r="EDD254" s="66"/>
      <c r="EDE254" s="66"/>
      <c r="EDF254" s="66"/>
      <c r="EDG254" s="66"/>
      <c r="EDH254" s="66"/>
      <c r="EDI254" s="66"/>
      <c r="EDJ254" s="66"/>
      <c r="EDK254" s="66"/>
      <c r="EDL254" s="66"/>
      <c r="EDM254" s="66"/>
      <c r="EDN254" s="66"/>
      <c r="EDO254" s="66"/>
      <c r="EDP254" s="66"/>
      <c r="EDQ254" s="66"/>
      <c r="EDR254" s="66"/>
      <c r="EDS254" s="66"/>
      <c r="EDT254" s="66"/>
      <c r="EDU254" s="66"/>
      <c r="EDV254" s="66"/>
      <c r="EDW254" s="66"/>
      <c r="EDX254" s="66"/>
      <c r="EDY254" s="66"/>
      <c r="EDZ254" s="66"/>
      <c r="EEA254" s="66"/>
      <c r="EEB254" s="66"/>
      <c r="EEC254" s="66"/>
      <c r="EED254" s="66"/>
      <c r="EEE254" s="66"/>
      <c r="EEF254" s="66"/>
      <c r="EEG254" s="66"/>
      <c r="EEH254" s="66"/>
      <c r="EEI254" s="66"/>
      <c r="EEJ254" s="66"/>
      <c r="EEK254" s="66"/>
      <c r="EEL254" s="66"/>
      <c r="EEM254" s="66"/>
      <c r="EEN254" s="66"/>
      <c r="EEO254" s="66"/>
      <c r="EEP254" s="66"/>
      <c r="EEQ254" s="66"/>
      <c r="EER254" s="66"/>
      <c r="EES254" s="66"/>
      <c r="EET254" s="66"/>
      <c r="EEU254" s="66"/>
      <c r="EEV254" s="66"/>
      <c r="EEW254" s="66"/>
      <c r="EEX254" s="66"/>
      <c r="EEY254" s="66"/>
      <c r="EEZ254" s="66"/>
      <c r="EFA254" s="66"/>
      <c r="EFB254" s="66"/>
      <c r="EFC254" s="66"/>
      <c r="EFD254" s="66"/>
      <c r="EFE254" s="66"/>
      <c r="EFF254" s="66"/>
      <c r="EFG254" s="66"/>
      <c r="EFH254" s="66"/>
      <c r="EFI254" s="66"/>
      <c r="EFJ254" s="66"/>
      <c r="EFK254" s="66"/>
      <c r="EFL254" s="66"/>
      <c r="EFM254" s="66"/>
      <c r="EFN254" s="66"/>
      <c r="EFO254" s="66"/>
      <c r="EFP254" s="66"/>
      <c r="EFQ254" s="66"/>
      <c r="EFR254" s="66"/>
      <c r="EFS254" s="66"/>
      <c r="EFT254" s="66"/>
      <c r="EFU254" s="66"/>
      <c r="EFV254" s="66"/>
      <c r="EFW254" s="66"/>
      <c r="EFX254" s="66"/>
      <c r="EFY254" s="66"/>
      <c r="EFZ254" s="66"/>
      <c r="EGA254" s="66"/>
      <c r="EGB254" s="66"/>
      <c r="EGC254" s="66"/>
      <c r="EGD254" s="66"/>
      <c r="EGE254" s="66"/>
      <c r="EGF254" s="66"/>
      <c r="EGG254" s="66"/>
      <c r="EGH254" s="66"/>
      <c r="EGI254" s="66"/>
      <c r="EGJ254" s="66"/>
      <c r="EGK254" s="66"/>
      <c r="EGL254" s="66"/>
      <c r="EGM254" s="66"/>
      <c r="EGN254" s="66"/>
      <c r="EGO254" s="66"/>
      <c r="EGP254" s="66"/>
      <c r="EGQ254" s="66"/>
      <c r="EGR254" s="66"/>
      <c r="EGS254" s="66"/>
      <c r="EGT254" s="66"/>
      <c r="EGU254" s="66"/>
      <c r="EGV254" s="66"/>
      <c r="EGW254" s="66"/>
      <c r="EGX254" s="66"/>
      <c r="EGY254" s="66"/>
      <c r="EGZ254" s="66"/>
      <c r="EHA254" s="66"/>
      <c r="EHB254" s="66"/>
      <c r="EHC254" s="66"/>
      <c r="EHD254" s="66"/>
      <c r="EHE254" s="66"/>
      <c r="EHF254" s="66"/>
      <c r="EHG254" s="66"/>
      <c r="EHH254" s="66"/>
      <c r="EHI254" s="66"/>
      <c r="EHJ254" s="66"/>
      <c r="EHK254" s="66"/>
      <c r="EHL254" s="66"/>
      <c r="EHM254" s="66"/>
      <c r="EHN254" s="66"/>
      <c r="EHO254" s="66"/>
      <c r="EHP254" s="66"/>
      <c r="EHQ254" s="66"/>
      <c r="EHR254" s="66"/>
      <c r="EHS254" s="66"/>
      <c r="EHT254" s="66"/>
      <c r="EHU254" s="66"/>
      <c r="EHV254" s="66"/>
      <c r="EHW254" s="66"/>
      <c r="EHX254" s="66"/>
      <c r="EHY254" s="66"/>
      <c r="EHZ254" s="66"/>
      <c r="EIA254" s="66"/>
      <c r="EIB254" s="66"/>
      <c r="EIC254" s="66"/>
      <c r="EID254" s="66"/>
      <c r="EIE254" s="66"/>
      <c r="EIF254" s="66"/>
      <c r="EIG254" s="66"/>
      <c r="EIH254" s="66"/>
      <c r="EII254" s="66"/>
      <c r="EIJ254" s="66"/>
      <c r="EIK254" s="66"/>
      <c r="EIL254" s="66"/>
      <c r="EIM254" s="66"/>
      <c r="EIN254" s="66"/>
      <c r="EIO254" s="66"/>
      <c r="EIP254" s="66"/>
      <c r="EIQ254" s="66"/>
      <c r="EIR254" s="66"/>
      <c r="EIS254" s="66"/>
      <c r="EIT254" s="66"/>
      <c r="EIU254" s="66"/>
      <c r="EIV254" s="66"/>
      <c r="EIW254" s="66"/>
      <c r="EIX254" s="66"/>
      <c r="EIY254" s="66"/>
      <c r="EIZ254" s="66"/>
      <c r="EJA254" s="66"/>
      <c r="EJB254" s="66"/>
      <c r="EJC254" s="66"/>
      <c r="EJD254" s="66"/>
      <c r="EJE254" s="66"/>
      <c r="EJF254" s="66"/>
      <c r="EJG254" s="66"/>
      <c r="EJH254" s="66"/>
      <c r="EJI254" s="66"/>
      <c r="EJJ254" s="66"/>
      <c r="EJK254" s="66"/>
      <c r="EJL254" s="66"/>
      <c r="EJM254" s="66"/>
      <c r="EJN254" s="66"/>
      <c r="EJO254" s="66"/>
      <c r="EJP254" s="66"/>
      <c r="EJQ254" s="66"/>
      <c r="EJR254" s="66"/>
      <c r="EJS254" s="66"/>
      <c r="EJT254" s="66"/>
      <c r="EJU254" s="66"/>
      <c r="EJV254" s="66"/>
      <c r="EJW254" s="66"/>
      <c r="EJX254" s="66"/>
      <c r="EJY254" s="66"/>
      <c r="EJZ254" s="66"/>
      <c r="EKA254" s="66"/>
      <c r="EKB254" s="66"/>
      <c r="EKC254" s="66"/>
      <c r="EKD254" s="66"/>
      <c r="EKE254" s="66"/>
      <c r="EKF254" s="66"/>
      <c r="EKG254" s="66"/>
      <c r="EKH254" s="66"/>
      <c r="EKI254" s="66"/>
      <c r="EKJ254" s="66"/>
      <c r="EKK254" s="66"/>
      <c r="EKL254" s="66"/>
      <c r="EKM254" s="66"/>
      <c r="EKN254" s="66"/>
      <c r="EKO254" s="66"/>
      <c r="EKP254" s="66"/>
      <c r="EKQ254" s="66"/>
      <c r="EKR254" s="66"/>
      <c r="EKS254" s="66"/>
      <c r="EKT254" s="66"/>
      <c r="EKU254" s="66"/>
      <c r="EKV254" s="66"/>
      <c r="EKW254" s="66"/>
      <c r="EKX254" s="66"/>
      <c r="EKY254" s="66"/>
      <c r="EKZ254" s="66"/>
      <c r="ELA254" s="66"/>
      <c r="ELB254" s="66"/>
      <c r="ELC254" s="66"/>
      <c r="ELD254" s="66"/>
      <c r="ELE254" s="66"/>
      <c r="ELF254" s="66"/>
      <c r="ELG254" s="66"/>
      <c r="ELH254" s="66"/>
      <c r="ELI254" s="66"/>
      <c r="ELJ254" s="66"/>
      <c r="ELK254" s="66"/>
      <c r="ELL254" s="66"/>
      <c r="ELM254" s="66"/>
      <c r="ELN254" s="66"/>
      <c r="ELO254" s="66"/>
      <c r="ELP254" s="66"/>
      <c r="ELQ254" s="66"/>
      <c r="ELR254" s="66"/>
      <c r="ELS254" s="66"/>
      <c r="ELT254" s="66"/>
      <c r="ELU254" s="66"/>
      <c r="ELV254" s="66"/>
      <c r="ELW254" s="66"/>
      <c r="ELX254" s="66"/>
      <c r="ELY254" s="66"/>
      <c r="ELZ254" s="66"/>
      <c r="EMA254" s="66"/>
      <c r="EMB254" s="66"/>
      <c r="EMC254" s="66"/>
      <c r="EMD254" s="66"/>
      <c r="EME254" s="66"/>
      <c r="EMF254" s="66"/>
      <c r="EMG254" s="66"/>
      <c r="EMH254" s="66"/>
      <c r="EMI254" s="66"/>
      <c r="EMJ254" s="66"/>
      <c r="EMK254" s="66"/>
      <c r="EML254" s="66"/>
      <c r="EMM254" s="66"/>
      <c r="EMN254" s="66"/>
      <c r="EMO254" s="66"/>
      <c r="EMP254" s="66"/>
      <c r="EMQ254" s="66"/>
      <c r="EMR254" s="66"/>
      <c r="EMS254" s="66"/>
      <c r="EMT254" s="66"/>
      <c r="EMU254" s="66"/>
      <c r="EMV254" s="66"/>
      <c r="EMW254" s="66"/>
      <c r="EMX254" s="66"/>
      <c r="EMY254" s="66"/>
      <c r="EMZ254" s="66"/>
      <c r="ENA254" s="66"/>
      <c r="ENB254" s="66"/>
      <c r="ENC254" s="66"/>
      <c r="END254" s="66"/>
      <c r="ENE254" s="66"/>
      <c r="ENF254" s="66"/>
      <c r="ENG254" s="66"/>
      <c r="ENH254" s="66"/>
      <c r="ENI254" s="66"/>
      <c r="ENJ254" s="66"/>
      <c r="ENK254" s="66"/>
      <c r="ENL254" s="66"/>
      <c r="ENM254" s="66"/>
      <c r="ENN254" s="66"/>
      <c r="ENO254" s="66"/>
      <c r="ENP254" s="66"/>
      <c r="ENQ254" s="66"/>
      <c r="ENR254" s="66"/>
      <c r="ENS254" s="66"/>
      <c r="ENT254" s="66"/>
      <c r="ENU254" s="66"/>
      <c r="ENV254" s="66"/>
      <c r="ENW254" s="66"/>
      <c r="ENX254" s="66"/>
      <c r="ENY254" s="66"/>
      <c r="ENZ254" s="66"/>
      <c r="EOA254" s="66"/>
      <c r="EOB254" s="66"/>
      <c r="EOC254" s="66"/>
      <c r="EOD254" s="66"/>
      <c r="EOE254" s="66"/>
      <c r="EOF254" s="66"/>
      <c r="EOG254" s="66"/>
      <c r="EOH254" s="66"/>
      <c r="EOI254" s="66"/>
      <c r="EOJ254" s="66"/>
      <c r="EOK254" s="66"/>
      <c r="EOL254" s="66"/>
      <c r="EOM254" s="66"/>
      <c r="EON254" s="66"/>
      <c r="EOO254" s="66"/>
      <c r="EOP254" s="66"/>
      <c r="EOQ254" s="66"/>
      <c r="EOR254" s="66"/>
      <c r="EOS254" s="66"/>
      <c r="EOT254" s="66"/>
      <c r="EOU254" s="66"/>
      <c r="EOV254" s="66"/>
      <c r="EOW254" s="66"/>
      <c r="EOX254" s="66"/>
      <c r="EOY254" s="66"/>
      <c r="EOZ254" s="66"/>
      <c r="EPA254" s="66"/>
      <c r="EPB254" s="66"/>
      <c r="EPC254" s="66"/>
      <c r="EPD254" s="66"/>
      <c r="EPE254" s="66"/>
      <c r="EPF254" s="66"/>
      <c r="EPG254" s="66"/>
      <c r="EPH254" s="66"/>
      <c r="EPI254" s="66"/>
      <c r="EPJ254" s="66"/>
      <c r="EPK254" s="66"/>
      <c r="EPL254" s="66"/>
      <c r="EPM254" s="66"/>
      <c r="EPN254" s="66"/>
      <c r="EPO254" s="66"/>
      <c r="EPP254" s="66"/>
      <c r="EPQ254" s="66"/>
      <c r="EPR254" s="66"/>
      <c r="EPS254" s="66"/>
      <c r="EPT254" s="66"/>
      <c r="EPU254" s="66"/>
      <c r="EPV254" s="66"/>
      <c r="EPW254" s="66"/>
      <c r="EPX254" s="66"/>
      <c r="EPY254" s="66"/>
      <c r="EPZ254" s="66"/>
      <c r="EQA254" s="66"/>
      <c r="EQB254" s="66"/>
      <c r="EQC254" s="66"/>
      <c r="EQD254" s="66"/>
      <c r="EQE254" s="66"/>
      <c r="EQF254" s="66"/>
      <c r="EQG254" s="66"/>
      <c r="EQH254" s="66"/>
      <c r="EQI254" s="66"/>
      <c r="EQJ254" s="66"/>
      <c r="EQK254" s="66"/>
      <c r="EQL254" s="66"/>
      <c r="EQM254" s="66"/>
      <c r="EQN254" s="66"/>
      <c r="EQO254" s="66"/>
      <c r="EQP254" s="66"/>
      <c r="EQQ254" s="66"/>
      <c r="EQR254" s="66"/>
      <c r="EQS254" s="66"/>
      <c r="EQT254" s="66"/>
      <c r="EQU254" s="66"/>
      <c r="EQV254" s="66"/>
      <c r="EQW254" s="66"/>
      <c r="EQX254" s="66"/>
      <c r="EQY254" s="66"/>
      <c r="EQZ254" s="66"/>
      <c r="ERA254" s="66"/>
      <c r="ERB254" s="66"/>
      <c r="ERC254" s="66"/>
      <c r="ERD254" s="66"/>
      <c r="ERE254" s="66"/>
      <c r="ERF254" s="66"/>
      <c r="ERG254" s="66"/>
      <c r="ERH254" s="66"/>
      <c r="ERI254" s="66"/>
      <c r="ERJ254" s="66"/>
      <c r="ERK254" s="66"/>
      <c r="ERL254" s="66"/>
      <c r="ERM254" s="66"/>
      <c r="ERN254" s="66"/>
      <c r="ERO254" s="66"/>
      <c r="ERP254" s="66"/>
      <c r="ERQ254" s="66"/>
      <c r="ERR254" s="66"/>
      <c r="ERS254" s="66"/>
      <c r="ERT254" s="66"/>
      <c r="ERU254" s="66"/>
      <c r="ERV254" s="66"/>
      <c r="ERW254" s="66"/>
      <c r="ERX254" s="66"/>
      <c r="ERY254" s="66"/>
      <c r="ERZ254" s="66"/>
      <c r="ESA254" s="66"/>
      <c r="ESB254" s="66"/>
      <c r="ESC254" s="66"/>
      <c r="ESD254" s="66"/>
      <c r="ESE254" s="66"/>
      <c r="ESF254" s="66"/>
      <c r="ESG254" s="66"/>
      <c r="ESH254" s="66"/>
      <c r="ESI254" s="66"/>
      <c r="ESJ254" s="66"/>
      <c r="ESK254" s="66"/>
      <c r="ESL254" s="66"/>
      <c r="ESM254" s="66"/>
      <c r="ESN254" s="66"/>
      <c r="ESO254" s="66"/>
      <c r="ESP254" s="66"/>
      <c r="ESQ254" s="66"/>
      <c r="ESR254" s="66"/>
      <c r="ESS254" s="66"/>
      <c r="EST254" s="66"/>
      <c r="ESU254" s="66"/>
      <c r="ESV254" s="66"/>
      <c r="ESW254" s="66"/>
      <c r="ESX254" s="66"/>
      <c r="ESY254" s="66"/>
      <c r="ESZ254" s="66"/>
      <c r="ETA254" s="66"/>
      <c r="ETB254" s="66"/>
      <c r="ETC254" s="66"/>
      <c r="ETD254" s="66"/>
      <c r="ETE254" s="66"/>
      <c r="ETF254" s="66"/>
      <c r="ETG254" s="66"/>
      <c r="ETH254" s="66"/>
      <c r="ETI254" s="66"/>
      <c r="ETJ254" s="66"/>
      <c r="ETK254" s="66"/>
      <c r="ETL254" s="66"/>
      <c r="ETM254" s="66"/>
      <c r="ETN254" s="66"/>
      <c r="ETO254" s="66"/>
      <c r="ETP254" s="66"/>
      <c r="ETQ254" s="66"/>
      <c r="ETR254" s="66"/>
      <c r="ETS254" s="66"/>
      <c r="ETT254" s="66"/>
      <c r="ETU254" s="66"/>
      <c r="ETV254" s="66"/>
      <c r="ETW254" s="66"/>
      <c r="ETX254" s="66"/>
      <c r="ETY254" s="66"/>
      <c r="ETZ254" s="66"/>
      <c r="EUA254" s="66"/>
      <c r="EUB254" s="66"/>
      <c r="EUC254" s="66"/>
      <c r="EUD254" s="66"/>
      <c r="EUE254" s="66"/>
      <c r="EUF254" s="66"/>
      <c r="EUG254" s="66"/>
      <c r="EUH254" s="66"/>
      <c r="EUI254" s="66"/>
      <c r="EUJ254" s="66"/>
      <c r="EUK254" s="66"/>
      <c r="EUL254" s="66"/>
      <c r="EUM254" s="66"/>
      <c r="EUN254" s="66"/>
      <c r="EUO254" s="66"/>
      <c r="EUP254" s="66"/>
      <c r="EUQ254" s="66"/>
      <c r="EUR254" s="66"/>
      <c r="EUS254" s="66"/>
      <c r="EUT254" s="66"/>
      <c r="EUU254" s="66"/>
      <c r="EUV254" s="66"/>
      <c r="EUW254" s="66"/>
      <c r="EUX254" s="66"/>
      <c r="EUY254" s="66"/>
      <c r="EUZ254" s="66"/>
      <c r="EVA254" s="66"/>
      <c r="EVB254" s="66"/>
      <c r="EVC254" s="66"/>
      <c r="EVD254" s="66"/>
      <c r="EVE254" s="66"/>
      <c r="EVF254" s="66"/>
      <c r="EVG254" s="66"/>
      <c r="EVH254" s="66"/>
      <c r="EVI254" s="66"/>
      <c r="EVJ254" s="66"/>
      <c r="EVK254" s="66"/>
      <c r="EVL254" s="66"/>
      <c r="EVM254" s="66"/>
      <c r="EVN254" s="66"/>
      <c r="EVO254" s="66"/>
      <c r="EVP254" s="66"/>
      <c r="EVQ254" s="66"/>
      <c r="EVR254" s="66"/>
      <c r="EVS254" s="66"/>
      <c r="EVT254" s="66"/>
      <c r="EVU254" s="66"/>
      <c r="EVV254" s="66"/>
      <c r="EVW254" s="66"/>
      <c r="EVX254" s="66"/>
      <c r="EVY254" s="66"/>
      <c r="EVZ254" s="66"/>
      <c r="EWA254" s="66"/>
      <c r="EWB254" s="66"/>
      <c r="EWC254" s="66"/>
      <c r="EWD254" s="66"/>
      <c r="EWE254" s="66"/>
      <c r="EWF254" s="66"/>
      <c r="EWG254" s="66"/>
      <c r="EWH254" s="66"/>
      <c r="EWI254" s="66"/>
      <c r="EWJ254" s="66"/>
      <c r="EWK254" s="66"/>
      <c r="EWL254" s="66"/>
      <c r="EWM254" s="66"/>
      <c r="EWN254" s="66"/>
      <c r="EWO254" s="66"/>
      <c r="EWP254" s="66"/>
      <c r="EWQ254" s="66"/>
      <c r="EWR254" s="66"/>
      <c r="EWS254" s="66"/>
      <c r="EWT254" s="66"/>
      <c r="EWU254" s="66"/>
      <c r="EWV254" s="66"/>
      <c r="EWW254" s="66"/>
      <c r="EWX254" s="66"/>
      <c r="EWY254" s="66"/>
      <c r="EWZ254" s="66"/>
      <c r="EXA254" s="66"/>
      <c r="EXB254" s="66"/>
      <c r="EXC254" s="66"/>
      <c r="EXD254" s="66"/>
      <c r="EXE254" s="66"/>
      <c r="EXF254" s="66"/>
      <c r="EXG254" s="66"/>
      <c r="EXH254" s="66"/>
      <c r="EXI254" s="66"/>
      <c r="EXJ254" s="66"/>
      <c r="EXK254" s="66"/>
      <c r="EXL254" s="66"/>
      <c r="EXM254" s="66"/>
      <c r="EXN254" s="66"/>
      <c r="EXO254" s="66"/>
      <c r="EXP254" s="66"/>
      <c r="EXQ254" s="66"/>
      <c r="EXR254" s="66"/>
      <c r="EXS254" s="66"/>
      <c r="EXT254" s="66"/>
      <c r="EXU254" s="66"/>
      <c r="EXV254" s="66"/>
      <c r="EXW254" s="66"/>
      <c r="EXX254" s="66"/>
      <c r="EXY254" s="66"/>
      <c r="EXZ254" s="66"/>
      <c r="EYA254" s="66"/>
      <c r="EYB254" s="66"/>
      <c r="EYC254" s="66"/>
      <c r="EYD254" s="66"/>
      <c r="EYE254" s="66"/>
      <c r="EYF254" s="66"/>
      <c r="EYG254" s="66"/>
      <c r="EYH254" s="66"/>
      <c r="EYI254" s="66"/>
      <c r="EYJ254" s="66"/>
      <c r="EYK254" s="66"/>
      <c r="EYL254" s="66"/>
      <c r="EYM254" s="66"/>
      <c r="EYN254" s="66"/>
      <c r="EYO254" s="66"/>
      <c r="EYP254" s="66"/>
      <c r="EYQ254" s="66"/>
      <c r="EYR254" s="66"/>
      <c r="EYS254" s="66"/>
      <c r="EYT254" s="66"/>
      <c r="EYU254" s="66"/>
      <c r="EYV254" s="66"/>
      <c r="EYW254" s="66"/>
      <c r="EYX254" s="66"/>
      <c r="EYY254" s="66"/>
      <c r="EYZ254" s="66"/>
      <c r="EZA254" s="66"/>
      <c r="EZB254" s="66"/>
      <c r="EZC254" s="66"/>
      <c r="EZD254" s="66"/>
      <c r="EZE254" s="66"/>
      <c r="EZF254" s="66"/>
      <c r="EZG254" s="66"/>
      <c r="EZH254" s="66"/>
      <c r="EZI254" s="66"/>
      <c r="EZJ254" s="66"/>
      <c r="EZK254" s="66"/>
      <c r="EZL254" s="66"/>
      <c r="EZM254" s="66"/>
      <c r="EZN254" s="66"/>
      <c r="EZO254" s="66"/>
      <c r="EZP254" s="66"/>
      <c r="EZQ254" s="66"/>
      <c r="EZR254" s="66"/>
      <c r="EZS254" s="66"/>
      <c r="EZT254" s="66"/>
      <c r="EZU254" s="66"/>
      <c r="EZV254" s="66"/>
      <c r="EZW254" s="66"/>
      <c r="EZX254" s="66"/>
      <c r="EZY254" s="66"/>
      <c r="EZZ254" s="66"/>
      <c r="FAA254" s="66"/>
      <c r="FAB254" s="66"/>
      <c r="FAC254" s="66"/>
      <c r="FAD254" s="66"/>
      <c r="FAE254" s="66"/>
      <c r="FAF254" s="66"/>
      <c r="FAG254" s="66"/>
      <c r="FAH254" s="66"/>
      <c r="FAI254" s="66"/>
      <c r="FAJ254" s="66"/>
      <c r="FAK254" s="66"/>
      <c r="FAL254" s="66"/>
      <c r="FAM254" s="66"/>
      <c r="FAN254" s="66"/>
      <c r="FAO254" s="66"/>
      <c r="FAP254" s="66"/>
      <c r="FAQ254" s="66"/>
      <c r="FAR254" s="66"/>
      <c r="FAS254" s="66"/>
      <c r="FAT254" s="66"/>
      <c r="FAU254" s="66"/>
      <c r="FAV254" s="66"/>
      <c r="FAW254" s="66"/>
      <c r="FAX254" s="66"/>
      <c r="FAY254" s="66"/>
      <c r="FAZ254" s="66"/>
      <c r="FBA254" s="66"/>
      <c r="FBB254" s="66"/>
      <c r="FBC254" s="66"/>
      <c r="FBD254" s="66"/>
      <c r="FBE254" s="66"/>
      <c r="FBF254" s="66"/>
      <c r="FBG254" s="66"/>
      <c r="FBH254" s="66"/>
      <c r="FBI254" s="66"/>
      <c r="FBJ254" s="66"/>
      <c r="FBK254" s="66"/>
      <c r="FBL254" s="66"/>
      <c r="FBM254" s="66"/>
      <c r="FBN254" s="66"/>
      <c r="FBO254" s="66"/>
      <c r="FBP254" s="66"/>
      <c r="FBQ254" s="66"/>
      <c r="FBR254" s="66"/>
      <c r="FBS254" s="66"/>
      <c r="FBT254" s="66"/>
      <c r="FBU254" s="66"/>
      <c r="FBV254" s="66"/>
      <c r="FBW254" s="66"/>
      <c r="FBX254" s="66"/>
      <c r="FBY254" s="66"/>
      <c r="FBZ254" s="66"/>
      <c r="FCA254" s="66"/>
      <c r="FCB254" s="66"/>
      <c r="FCC254" s="66"/>
      <c r="FCD254" s="66"/>
      <c r="FCE254" s="66"/>
      <c r="FCF254" s="66"/>
      <c r="FCG254" s="66"/>
      <c r="FCH254" s="66"/>
      <c r="FCI254" s="66"/>
      <c r="FCJ254" s="66"/>
      <c r="FCK254" s="66"/>
      <c r="FCL254" s="66"/>
      <c r="FCM254" s="66"/>
      <c r="FCN254" s="66"/>
      <c r="FCO254" s="66"/>
      <c r="FCP254" s="66"/>
      <c r="FCQ254" s="66"/>
      <c r="FCR254" s="66"/>
      <c r="FCS254" s="66"/>
      <c r="FCT254" s="66"/>
      <c r="FCU254" s="66"/>
      <c r="FCV254" s="66"/>
      <c r="FCW254" s="66"/>
      <c r="FCX254" s="66"/>
      <c r="FCY254" s="66"/>
      <c r="FCZ254" s="66"/>
      <c r="FDA254" s="66"/>
      <c r="FDB254" s="66"/>
      <c r="FDC254" s="66"/>
      <c r="FDD254" s="66"/>
      <c r="FDE254" s="66"/>
      <c r="FDF254" s="66"/>
      <c r="FDG254" s="66"/>
      <c r="FDH254" s="66"/>
      <c r="FDI254" s="66"/>
      <c r="FDJ254" s="66"/>
      <c r="FDK254" s="66"/>
      <c r="FDL254" s="66"/>
      <c r="FDM254" s="66"/>
      <c r="FDN254" s="66"/>
      <c r="FDO254" s="66"/>
      <c r="FDP254" s="66"/>
      <c r="FDQ254" s="66"/>
      <c r="FDR254" s="66"/>
      <c r="FDS254" s="66"/>
      <c r="FDT254" s="66"/>
      <c r="FDU254" s="66"/>
      <c r="FDV254" s="66"/>
      <c r="FDW254" s="66"/>
      <c r="FDX254" s="66"/>
      <c r="FDY254" s="66"/>
      <c r="FDZ254" s="66"/>
      <c r="FEA254" s="66"/>
      <c r="FEB254" s="66"/>
      <c r="FEC254" s="66"/>
      <c r="FED254" s="66"/>
      <c r="FEE254" s="66"/>
      <c r="FEF254" s="66"/>
      <c r="FEG254" s="66"/>
      <c r="FEH254" s="66"/>
      <c r="FEI254" s="66"/>
      <c r="FEJ254" s="66"/>
      <c r="FEK254" s="66"/>
      <c r="FEL254" s="66"/>
      <c r="FEM254" s="66"/>
      <c r="FEN254" s="66"/>
      <c r="FEO254" s="66"/>
      <c r="FEP254" s="66"/>
      <c r="FEQ254" s="66"/>
      <c r="FER254" s="66"/>
      <c r="FES254" s="66"/>
      <c r="FET254" s="66"/>
      <c r="FEU254" s="66"/>
      <c r="FEV254" s="66"/>
      <c r="FEW254" s="66"/>
      <c r="FEX254" s="66"/>
      <c r="FEY254" s="66"/>
      <c r="FEZ254" s="66"/>
      <c r="FFA254" s="66"/>
      <c r="FFB254" s="66"/>
      <c r="FFC254" s="66"/>
      <c r="FFD254" s="66"/>
      <c r="FFE254" s="66"/>
      <c r="FFF254" s="66"/>
      <c r="FFG254" s="66"/>
      <c r="FFH254" s="66"/>
      <c r="FFI254" s="66"/>
      <c r="FFJ254" s="66"/>
      <c r="FFK254" s="66"/>
      <c r="FFL254" s="66"/>
      <c r="FFM254" s="66"/>
      <c r="FFN254" s="66"/>
      <c r="FFO254" s="66"/>
      <c r="FFP254" s="66"/>
      <c r="FFQ254" s="66"/>
      <c r="FFR254" s="66"/>
      <c r="FFS254" s="66"/>
      <c r="FFT254" s="66"/>
      <c r="FFU254" s="66"/>
      <c r="FFV254" s="66"/>
      <c r="FFW254" s="66"/>
      <c r="FFX254" s="66"/>
      <c r="FFY254" s="66"/>
      <c r="FFZ254" s="66"/>
      <c r="FGA254" s="66"/>
      <c r="FGB254" s="66"/>
      <c r="FGC254" s="66"/>
      <c r="FGD254" s="66"/>
      <c r="FGE254" s="66"/>
      <c r="FGF254" s="66"/>
      <c r="FGG254" s="66"/>
      <c r="FGH254" s="66"/>
      <c r="FGI254" s="66"/>
      <c r="FGJ254" s="66"/>
      <c r="FGK254" s="66"/>
      <c r="FGL254" s="66"/>
      <c r="FGM254" s="66"/>
      <c r="FGN254" s="66"/>
      <c r="FGO254" s="66"/>
      <c r="FGP254" s="66"/>
      <c r="FGQ254" s="66"/>
      <c r="FGR254" s="66"/>
      <c r="FGS254" s="66"/>
      <c r="FGT254" s="66"/>
      <c r="FGU254" s="66"/>
      <c r="FGV254" s="66"/>
      <c r="FGW254" s="66"/>
      <c r="FGX254" s="66"/>
      <c r="FGY254" s="66"/>
      <c r="FGZ254" s="66"/>
      <c r="FHA254" s="66"/>
      <c r="FHB254" s="66"/>
      <c r="FHC254" s="66"/>
      <c r="FHD254" s="66"/>
      <c r="FHE254" s="66"/>
      <c r="FHF254" s="66"/>
      <c r="FHG254" s="66"/>
      <c r="FHH254" s="66"/>
      <c r="FHI254" s="66"/>
      <c r="FHJ254" s="66"/>
      <c r="FHK254" s="66"/>
      <c r="FHL254" s="66"/>
      <c r="FHM254" s="66"/>
      <c r="FHN254" s="66"/>
      <c r="FHO254" s="66"/>
      <c r="FHP254" s="66"/>
      <c r="FHQ254" s="66"/>
      <c r="FHR254" s="66"/>
      <c r="FHS254" s="66"/>
      <c r="FHT254" s="66"/>
      <c r="FHU254" s="66"/>
      <c r="FHV254" s="66"/>
      <c r="FHW254" s="66"/>
      <c r="FHX254" s="66"/>
      <c r="FHY254" s="66"/>
      <c r="FHZ254" s="66"/>
      <c r="FIA254" s="66"/>
      <c r="FIB254" s="66"/>
      <c r="FIC254" s="66"/>
      <c r="FID254" s="66"/>
      <c r="FIE254" s="66"/>
      <c r="FIF254" s="66"/>
      <c r="FIG254" s="66"/>
      <c r="FIH254" s="66"/>
      <c r="FII254" s="66"/>
      <c r="FIJ254" s="66"/>
      <c r="FIK254" s="66"/>
      <c r="FIL254" s="66"/>
      <c r="FIM254" s="66"/>
      <c r="FIN254" s="66"/>
      <c r="FIO254" s="66"/>
      <c r="FIP254" s="66"/>
      <c r="FIQ254" s="66"/>
      <c r="FIR254" s="66"/>
      <c r="FIS254" s="66"/>
      <c r="FIT254" s="66"/>
      <c r="FIU254" s="66"/>
      <c r="FIV254" s="66"/>
      <c r="FIW254" s="66"/>
      <c r="FIX254" s="66"/>
      <c r="FIY254" s="66"/>
      <c r="FIZ254" s="66"/>
      <c r="FJA254" s="66"/>
      <c r="FJB254" s="66"/>
      <c r="FJC254" s="66"/>
      <c r="FJD254" s="66"/>
      <c r="FJE254" s="66"/>
      <c r="FJF254" s="66"/>
      <c r="FJG254" s="66"/>
      <c r="FJH254" s="66"/>
      <c r="FJI254" s="66"/>
      <c r="FJJ254" s="66"/>
      <c r="FJK254" s="66"/>
      <c r="FJL254" s="66"/>
      <c r="FJM254" s="66"/>
      <c r="FJN254" s="66"/>
      <c r="FJO254" s="66"/>
      <c r="FJP254" s="66"/>
      <c r="FJQ254" s="66"/>
      <c r="FJR254" s="66"/>
      <c r="FJS254" s="66"/>
      <c r="FJT254" s="66"/>
      <c r="FJU254" s="66"/>
      <c r="FJV254" s="66"/>
      <c r="FJW254" s="66"/>
      <c r="FJX254" s="66"/>
      <c r="FJY254" s="66"/>
      <c r="FJZ254" s="66"/>
      <c r="FKA254" s="66"/>
      <c r="FKB254" s="66"/>
      <c r="FKC254" s="66"/>
      <c r="FKD254" s="66"/>
      <c r="FKE254" s="66"/>
      <c r="FKF254" s="66"/>
      <c r="FKG254" s="66"/>
      <c r="FKH254" s="66"/>
      <c r="FKI254" s="66"/>
      <c r="FKJ254" s="66"/>
      <c r="FKK254" s="66"/>
      <c r="FKL254" s="66"/>
      <c r="FKM254" s="66"/>
      <c r="FKN254" s="66"/>
      <c r="FKO254" s="66"/>
      <c r="FKP254" s="66"/>
      <c r="FKQ254" s="66"/>
      <c r="FKR254" s="66"/>
      <c r="FKS254" s="66"/>
      <c r="FKT254" s="66"/>
      <c r="FKU254" s="66"/>
      <c r="FKV254" s="66"/>
      <c r="FKW254" s="66"/>
      <c r="FKX254" s="66"/>
      <c r="FKY254" s="66"/>
      <c r="FKZ254" s="66"/>
      <c r="FLA254" s="66"/>
      <c r="FLB254" s="66"/>
      <c r="FLC254" s="66"/>
      <c r="FLD254" s="66"/>
      <c r="FLE254" s="66"/>
      <c r="FLF254" s="66"/>
      <c r="FLG254" s="66"/>
      <c r="FLH254" s="66"/>
      <c r="FLI254" s="66"/>
      <c r="FLJ254" s="66"/>
      <c r="FLK254" s="66"/>
      <c r="FLL254" s="66"/>
      <c r="FLM254" s="66"/>
      <c r="FLN254" s="66"/>
      <c r="FLO254" s="66"/>
      <c r="FLP254" s="66"/>
      <c r="FLQ254" s="66"/>
      <c r="FLR254" s="66"/>
      <c r="FLS254" s="66"/>
      <c r="FLT254" s="66"/>
      <c r="FLU254" s="66"/>
      <c r="FLV254" s="66"/>
      <c r="FLW254" s="66"/>
      <c r="FLX254" s="66"/>
      <c r="FLY254" s="66"/>
      <c r="FLZ254" s="66"/>
      <c r="FMA254" s="66"/>
      <c r="FMB254" s="66"/>
      <c r="FMC254" s="66"/>
      <c r="FMD254" s="66"/>
      <c r="FME254" s="66"/>
      <c r="FMF254" s="66"/>
      <c r="FMG254" s="66"/>
      <c r="FMH254" s="66"/>
      <c r="FMI254" s="66"/>
      <c r="FMJ254" s="66"/>
      <c r="FMK254" s="66"/>
      <c r="FML254" s="66"/>
      <c r="FMM254" s="66"/>
      <c r="FMN254" s="66"/>
      <c r="FMO254" s="66"/>
      <c r="FMP254" s="66"/>
      <c r="FMQ254" s="66"/>
      <c r="FMR254" s="66"/>
      <c r="FMS254" s="66"/>
      <c r="FMT254" s="66"/>
      <c r="FMU254" s="66"/>
      <c r="FMV254" s="66"/>
      <c r="FMW254" s="66"/>
      <c r="FMX254" s="66"/>
      <c r="FMY254" s="66"/>
      <c r="FMZ254" s="66"/>
      <c r="FNA254" s="66"/>
      <c r="FNB254" s="66"/>
      <c r="FNC254" s="66"/>
      <c r="FND254" s="66"/>
      <c r="FNE254" s="66"/>
      <c r="FNF254" s="66"/>
      <c r="FNG254" s="66"/>
      <c r="FNH254" s="66"/>
      <c r="FNI254" s="66"/>
      <c r="FNJ254" s="66"/>
      <c r="FNK254" s="66"/>
      <c r="FNL254" s="66"/>
      <c r="FNM254" s="66"/>
      <c r="FNN254" s="66"/>
      <c r="FNO254" s="66"/>
      <c r="FNP254" s="66"/>
      <c r="FNQ254" s="66"/>
      <c r="FNR254" s="66"/>
      <c r="FNS254" s="66"/>
      <c r="FNT254" s="66"/>
      <c r="FNU254" s="66"/>
      <c r="FNV254" s="66"/>
      <c r="FNW254" s="66"/>
      <c r="FNX254" s="66"/>
      <c r="FNY254" s="66"/>
      <c r="FNZ254" s="66"/>
      <c r="FOA254" s="66"/>
      <c r="FOB254" s="66"/>
      <c r="FOC254" s="66"/>
      <c r="FOD254" s="66"/>
      <c r="FOE254" s="66"/>
      <c r="FOF254" s="66"/>
      <c r="FOG254" s="66"/>
      <c r="FOH254" s="66"/>
      <c r="FOI254" s="66"/>
      <c r="FOJ254" s="66"/>
      <c r="FOK254" s="66"/>
      <c r="FOL254" s="66"/>
      <c r="FOM254" s="66"/>
      <c r="FON254" s="66"/>
      <c r="FOO254" s="66"/>
      <c r="FOP254" s="66"/>
      <c r="FOQ254" s="66"/>
      <c r="FOR254" s="66"/>
      <c r="FOS254" s="66"/>
      <c r="FOT254" s="66"/>
      <c r="FOU254" s="66"/>
      <c r="FOV254" s="66"/>
      <c r="FOW254" s="66"/>
      <c r="FOX254" s="66"/>
      <c r="FOY254" s="66"/>
      <c r="FOZ254" s="66"/>
      <c r="FPA254" s="66"/>
      <c r="FPB254" s="66"/>
      <c r="FPC254" s="66"/>
      <c r="FPD254" s="66"/>
      <c r="FPE254" s="66"/>
      <c r="FPF254" s="66"/>
      <c r="FPG254" s="66"/>
      <c r="FPH254" s="66"/>
      <c r="FPI254" s="66"/>
      <c r="FPJ254" s="66"/>
      <c r="FPK254" s="66"/>
      <c r="FPL254" s="66"/>
      <c r="FPM254" s="66"/>
      <c r="FPN254" s="66"/>
      <c r="FPO254" s="66"/>
      <c r="FPP254" s="66"/>
      <c r="FPQ254" s="66"/>
      <c r="FPR254" s="66"/>
      <c r="FPS254" s="66"/>
      <c r="FPT254" s="66"/>
      <c r="FPU254" s="66"/>
      <c r="FPV254" s="66"/>
      <c r="FPW254" s="66"/>
      <c r="FPX254" s="66"/>
      <c r="FPY254" s="66"/>
      <c r="FPZ254" s="66"/>
      <c r="FQA254" s="66"/>
      <c r="FQB254" s="66"/>
      <c r="FQC254" s="66"/>
      <c r="FQD254" s="66"/>
      <c r="FQE254" s="66"/>
      <c r="FQF254" s="66"/>
      <c r="FQG254" s="66"/>
      <c r="FQH254" s="66"/>
      <c r="FQI254" s="66"/>
      <c r="FQJ254" s="66"/>
      <c r="FQK254" s="66"/>
      <c r="FQL254" s="66"/>
      <c r="FQM254" s="66"/>
      <c r="FQN254" s="66"/>
      <c r="FQO254" s="66"/>
      <c r="FQP254" s="66"/>
      <c r="FQQ254" s="66"/>
      <c r="FQR254" s="66"/>
      <c r="FQS254" s="66"/>
      <c r="FQT254" s="66"/>
      <c r="FQU254" s="66"/>
      <c r="FQV254" s="66"/>
      <c r="FQW254" s="66"/>
      <c r="FQX254" s="66"/>
      <c r="FQY254" s="66"/>
      <c r="FQZ254" s="66"/>
      <c r="FRA254" s="66"/>
      <c r="FRB254" s="66"/>
      <c r="FRC254" s="66"/>
      <c r="FRD254" s="66"/>
      <c r="FRE254" s="66"/>
      <c r="FRF254" s="66"/>
      <c r="FRG254" s="66"/>
      <c r="FRH254" s="66"/>
      <c r="FRI254" s="66"/>
      <c r="FRJ254" s="66"/>
      <c r="FRK254" s="66"/>
      <c r="FRL254" s="66"/>
      <c r="FRM254" s="66"/>
      <c r="FRN254" s="66"/>
      <c r="FRO254" s="66"/>
      <c r="FRP254" s="66"/>
      <c r="FRQ254" s="66"/>
      <c r="FRR254" s="66"/>
      <c r="FRS254" s="66"/>
      <c r="FRT254" s="66"/>
      <c r="FRU254" s="66"/>
      <c r="FRV254" s="66"/>
      <c r="FRW254" s="66"/>
      <c r="FRX254" s="66"/>
      <c r="FRY254" s="66"/>
      <c r="FRZ254" s="66"/>
      <c r="FSA254" s="66"/>
      <c r="FSB254" s="66"/>
      <c r="FSC254" s="66"/>
      <c r="FSD254" s="66"/>
      <c r="FSE254" s="66"/>
      <c r="FSF254" s="66"/>
      <c r="FSG254" s="66"/>
      <c r="FSH254" s="66"/>
      <c r="FSI254" s="66"/>
      <c r="FSJ254" s="66"/>
      <c r="FSK254" s="66"/>
      <c r="FSL254" s="66"/>
      <c r="FSM254" s="66"/>
      <c r="FSN254" s="66"/>
      <c r="FSO254" s="66"/>
      <c r="FSP254" s="66"/>
      <c r="FSQ254" s="66"/>
      <c r="FSR254" s="66"/>
      <c r="FSS254" s="66"/>
      <c r="FST254" s="66"/>
      <c r="FSU254" s="66"/>
      <c r="FSV254" s="66"/>
      <c r="FSW254" s="66"/>
      <c r="FSX254" s="66"/>
      <c r="FSY254" s="66"/>
      <c r="FSZ254" s="66"/>
      <c r="FTA254" s="66"/>
      <c r="FTB254" s="66"/>
      <c r="FTC254" s="66"/>
      <c r="FTD254" s="66"/>
      <c r="FTE254" s="66"/>
      <c r="FTF254" s="66"/>
      <c r="FTG254" s="66"/>
      <c r="FTH254" s="66"/>
      <c r="FTI254" s="66"/>
      <c r="FTJ254" s="66"/>
      <c r="FTK254" s="66"/>
      <c r="FTL254" s="66"/>
      <c r="FTM254" s="66"/>
      <c r="FTN254" s="66"/>
      <c r="FTO254" s="66"/>
      <c r="FTP254" s="66"/>
      <c r="FTQ254" s="66"/>
      <c r="FTR254" s="66"/>
      <c r="FTS254" s="66"/>
      <c r="FTT254" s="66"/>
      <c r="FTU254" s="66"/>
      <c r="FTV254" s="66"/>
      <c r="FTW254" s="66"/>
      <c r="FTX254" s="66"/>
      <c r="FTY254" s="66"/>
      <c r="FTZ254" s="66"/>
      <c r="FUA254" s="66"/>
      <c r="FUB254" s="66"/>
      <c r="FUC254" s="66"/>
      <c r="FUD254" s="66"/>
      <c r="FUE254" s="66"/>
      <c r="FUF254" s="66"/>
      <c r="FUG254" s="66"/>
      <c r="FUH254" s="66"/>
      <c r="FUI254" s="66"/>
      <c r="FUJ254" s="66"/>
      <c r="FUK254" s="66"/>
      <c r="FUL254" s="66"/>
      <c r="FUM254" s="66"/>
      <c r="FUN254" s="66"/>
      <c r="FUO254" s="66"/>
      <c r="FUP254" s="66"/>
      <c r="FUQ254" s="66"/>
      <c r="FUR254" s="66"/>
      <c r="FUS254" s="66"/>
      <c r="FUT254" s="66"/>
      <c r="FUU254" s="66"/>
      <c r="FUV254" s="66"/>
      <c r="FUW254" s="66"/>
      <c r="FUX254" s="66"/>
      <c r="FUY254" s="66"/>
      <c r="FUZ254" s="66"/>
      <c r="FVA254" s="66"/>
      <c r="FVB254" s="66"/>
      <c r="FVC254" s="66"/>
      <c r="FVD254" s="66"/>
      <c r="FVE254" s="66"/>
      <c r="FVF254" s="66"/>
      <c r="FVG254" s="66"/>
      <c r="FVH254" s="66"/>
      <c r="FVI254" s="66"/>
      <c r="FVJ254" s="66"/>
      <c r="FVK254" s="66"/>
      <c r="FVL254" s="66"/>
      <c r="FVM254" s="66"/>
      <c r="FVN254" s="66"/>
      <c r="FVO254" s="66"/>
      <c r="FVP254" s="66"/>
      <c r="FVQ254" s="66"/>
      <c r="FVR254" s="66"/>
      <c r="FVS254" s="66"/>
      <c r="FVT254" s="66"/>
      <c r="FVU254" s="66"/>
      <c r="FVV254" s="66"/>
      <c r="FVW254" s="66"/>
      <c r="FVX254" s="66"/>
      <c r="FVY254" s="66"/>
      <c r="FVZ254" s="66"/>
      <c r="FWA254" s="66"/>
      <c r="FWB254" s="66"/>
      <c r="FWC254" s="66"/>
      <c r="FWD254" s="66"/>
      <c r="FWE254" s="66"/>
      <c r="FWF254" s="66"/>
      <c r="FWG254" s="66"/>
      <c r="FWH254" s="66"/>
      <c r="FWI254" s="66"/>
      <c r="FWJ254" s="66"/>
      <c r="FWK254" s="66"/>
      <c r="FWL254" s="66"/>
      <c r="FWM254" s="66"/>
      <c r="FWN254" s="66"/>
      <c r="FWO254" s="66"/>
      <c r="FWP254" s="66"/>
      <c r="FWQ254" s="66"/>
      <c r="FWR254" s="66"/>
      <c r="FWS254" s="66"/>
      <c r="FWT254" s="66"/>
      <c r="FWU254" s="66"/>
      <c r="FWV254" s="66"/>
      <c r="FWW254" s="66"/>
      <c r="FWX254" s="66"/>
      <c r="FWY254" s="66"/>
      <c r="FWZ254" s="66"/>
      <c r="FXA254" s="66"/>
      <c r="FXB254" s="66"/>
      <c r="FXC254" s="66"/>
      <c r="FXD254" s="66"/>
      <c r="FXE254" s="66"/>
      <c r="FXF254" s="66"/>
      <c r="FXG254" s="66"/>
      <c r="FXH254" s="66"/>
      <c r="FXI254" s="66"/>
      <c r="FXJ254" s="66"/>
      <c r="FXK254" s="66"/>
      <c r="FXL254" s="66"/>
      <c r="FXM254" s="66"/>
      <c r="FXN254" s="66"/>
      <c r="FXO254" s="66"/>
      <c r="FXP254" s="66"/>
      <c r="FXQ254" s="66"/>
      <c r="FXR254" s="66"/>
      <c r="FXS254" s="66"/>
      <c r="FXT254" s="66"/>
      <c r="FXU254" s="66"/>
      <c r="FXV254" s="66"/>
      <c r="FXW254" s="66"/>
      <c r="FXX254" s="66"/>
      <c r="FXY254" s="66"/>
      <c r="FXZ254" s="66"/>
      <c r="FYA254" s="66"/>
      <c r="FYB254" s="66"/>
      <c r="FYC254" s="66"/>
      <c r="FYD254" s="66"/>
      <c r="FYE254" s="66"/>
      <c r="FYF254" s="66"/>
      <c r="FYG254" s="66"/>
      <c r="FYH254" s="66"/>
      <c r="FYI254" s="66"/>
      <c r="FYJ254" s="66"/>
      <c r="FYK254" s="66"/>
      <c r="FYL254" s="66"/>
      <c r="FYM254" s="66"/>
      <c r="FYN254" s="66"/>
      <c r="FYO254" s="66"/>
      <c r="FYP254" s="66"/>
      <c r="FYQ254" s="66"/>
      <c r="FYR254" s="66"/>
      <c r="FYS254" s="66"/>
      <c r="FYT254" s="66"/>
      <c r="FYU254" s="66"/>
      <c r="FYV254" s="66"/>
      <c r="FYW254" s="66"/>
      <c r="FYX254" s="66"/>
      <c r="FYY254" s="66"/>
      <c r="FYZ254" s="66"/>
      <c r="FZA254" s="66"/>
      <c r="FZB254" s="66"/>
      <c r="FZC254" s="66"/>
      <c r="FZD254" s="66"/>
      <c r="FZE254" s="66"/>
      <c r="FZF254" s="66"/>
      <c r="FZG254" s="66"/>
      <c r="FZH254" s="66"/>
      <c r="FZI254" s="66"/>
      <c r="FZJ254" s="66"/>
      <c r="FZK254" s="66"/>
      <c r="FZL254" s="66"/>
      <c r="FZM254" s="66"/>
      <c r="FZN254" s="66"/>
      <c r="FZO254" s="66"/>
      <c r="FZP254" s="66"/>
      <c r="FZQ254" s="66"/>
      <c r="FZR254" s="66"/>
      <c r="FZS254" s="66"/>
      <c r="FZT254" s="66"/>
      <c r="FZU254" s="66"/>
      <c r="FZV254" s="66"/>
      <c r="FZW254" s="66"/>
      <c r="FZX254" s="66"/>
      <c r="FZY254" s="66"/>
      <c r="FZZ254" s="66"/>
      <c r="GAA254" s="66"/>
      <c r="GAB254" s="66"/>
      <c r="GAC254" s="66"/>
      <c r="GAD254" s="66"/>
      <c r="GAE254" s="66"/>
      <c r="GAF254" s="66"/>
      <c r="GAG254" s="66"/>
      <c r="GAH254" s="66"/>
      <c r="GAI254" s="66"/>
      <c r="GAJ254" s="66"/>
      <c r="GAK254" s="66"/>
      <c r="GAL254" s="66"/>
      <c r="GAM254" s="66"/>
      <c r="GAN254" s="66"/>
      <c r="GAO254" s="66"/>
      <c r="GAP254" s="66"/>
      <c r="GAQ254" s="66"/>
      <c r="GAR254" s="66"/>
      <c r="GAS254" s="66"/>
      <c r="GAT254" s="66"/>
      <c r="GAU254" s="66"/>
      <c r="GAV254" s="66"/>
      <c r="GAW254" s="66"/>
      <c r="GAX254" s="66"/>
      <c r="GAY254" s="66"/>
      <c r="GAZ254" s="66"/>
      <c r="GBA254" s="66"/>
      <c r="GBB254" s="66"/>
      <c r="GBC254" s="66"/>
      <c r="GBD254" s="66"/>
      <c r="GBE254" s="66"/>
      <c r="GBF254" s="66"/>
      <c r="GBG254" s="66"/>
      <c r="GBH254" s="66"/>
      <c r="GBI254" s="66"/>
      <c r="GBJ254" s="66"/>
      <c r="GBK254" s="66"/>
      <c r="GBL254" s="66"/>
      <c r="GBM254" s="66"/>
      <c r="GBN254" s="66"/>
      <c r="GBO254" s="66"/>
      <c r="GBP254" s="66"/>
      <c r="GBQ254" s="66"/>
      <c r="GBR254" s="66"/>
      <c r="GBS254" s="66"/>
      <c r="GBT254" s="66"/>
      <c r="GBU254" s="66"/>
      <c r="GBV254" s="66"/>
      <c r="GBW254" s="66"/>
      <c r="GBX254" s="66"/>
      <c r="GBY254" s="66"/>
      <c r="GBZ254" s="66"/>
      <c r="GCA254" s="66"/>
      <c r="GCB254" s="66"/>
      <c r="GCC254" s="66"/>
      <c r="GCD254" s="66"/>
      <c r="GCE254" s="66"/>
      <c r="GCF254" s="66"/>
      <c r="GCG254" s="66"/>
      <c r="GCH254" s="66"/>
      <c r="GCI254" s="66"/>
      <c r="GCJ254" s="66"/>
      <c r="GCK254" s="66"/>
      <c r="GCL254" s="66"/>
      <c r="GCM254" s="66"/>
      <c r="GCN254" s="66"/>
      <c r="GCO254" s="66"/>
      <c r="GCP254" s="66"/>
      <c r="GCQ254" s="66"/>
      <c r="GCR254" s="66"/>
      <c r="GCS254" s="66"/>
      <c r="GCT254" s="66"/>
      <c r="GCU254" s="66"/>
      <c r="GCV254" s="66"/>
      <c r="GCW254" s="66"/>
      <c r="GCX254" s="66"/>
      <c r="GCY254" s="66"/>
      <c r="GCZ254" s="66"/>
      <c r="GDA254" s="66"/>
      <c r="GDB254" s="66"/>
      <c r="GDC254" s="66"/>
      <c r="GDD254" s="66"/>
      <c r="GDE254" s="66"/>
      <c r="GDF254" s="66"/>
      <c r="GDG254" s="66"/>
      <c r="GDH254" s="66"/>
      <c r="GDI254" s="66"/>
      <c r="GDJ254" s="66"/>
      <c r="GDK254" s="66"/>
      <c r="GDL254" s="66"/>
      <c r="GDM254" s="66"/>
      <c r="GDN254" s="66"/>
      <c r="GDO254" s="66"/>
      <c r="GDP254" s="66"/>
      <c r="GDQ254" s="66"/>
      <c r="GDR254" s="66"/>
      <c r="GDS254" s="66"/>
      <c r="GDT254" s="66"/>
      <c r="GDU254" s="66"/>
      <c r="GDV254" s="66"/>
      <c r="GDW254" s="66"/>
      <c r="GDX254" s="66"/>
      <c r="GDY254" s="66"/>
      <c r="GDZ254" s="66"/>
      <c r="GEA254" s="66"/>
      <c r="GEB254" s="66"/>
      <c r="GEC254" s="66"/>
      <c r="GED254" s="66"/>
      <c r="GEE254" s="66"/>
      <c r="GEF254" s="66"/>
      <c r="GEG254" s="66"/>
      <c r="GEH254" s="66"/>
      <c r="GEI254" s="66"/>
      <c r="GEJ254" s="66"/>
      <c r="GEK254" s="66"/>
      <c r="GEL254" s="66"/>
      <c r="GEM254" s="66"/>
      <c r="GEN254" s="66"/>
      <c r="GEO254" s="66"/>
      <c r="GEP254" s="66"/>
      <c r="GEQ254" s="66"/>
      <c r="GER254" s="66"/>
      <c r="GES254" s="66"/>
      <c r="GET254" s="66"/>
      <c r="GEU254" s="66"/>
      <c r="GEV254" s="66"/>
      <c r="GEW254" s="66"/>
      <c r="GEX254" s="66"/>
      <c r="GEY254" s="66"/>
      <c r="GEZ254" s="66"/>
      <c r="GFA254" s="66"/>
      <c r="GFB254" s="66"/>
      <c r="GFC254" s="66"/>
      <c r="GFD254" s="66"/>
      <c r="GFE254" s="66"/>
      <c r="GFF254" s="66"/>
      <c r="GFG254" s="66"/>
      <c r="GFH254" s="66"/>
      <c r="GFI254" s="66"/>
      <c r="GFJ254" s="66"/>
      <c r="GFK254" s="66"/>
      <c r="GFL254" s="66"/>
      <c r="GFM254" s="66"/>
      <c r="GFN254" s="66"/>
      <c r="GFO254" s="66"/>
      <c r="GFP254" s="66"/>
      <c r="GFQ254" s="66"/>
      <c r="GFR254" s="66"/>
      <c r="GFS254" s="66"/>
      <c r="GFT254" s="66"/>
      <c r="GFU254" s="66"/>
      <c r="GFV254" s="66"/>
      <c r="GFW254" s="66"/>
      <c r="GFX254" s="66"/>
      <c r="GFY254" s="66"/>
      <c r="GFZ254" s="66"/>
      <c r="GGA254" s="66"/>
      <c r="GGB254" s="66"/>
      <c r="GGC254" s="66"/>
      <c r="GGD254" s="66"/>
      <c r="GGE254" s="66"/>
      <c r="GGF254" s="66"/>
      <c r="GGG254" s="66"/>
      <c r="GGH254" s="66"/>
      <c r="GGI254" s="66"/>
      <c r="GGJ254" s="66"/>
      <c r="GGK254" s="66"/>
      <c r="GGL254" s="66"/>
      <c r="GGM254" s="66"/>
      <c r="GGN254" s="66"/>
      <c r="GGO254" s="66"/>
      <c r="GGP254" s="66"/>
      <c r="GGQ254" s="66"/>
      <c r="GGR254" s="66"/>
      <c r="GGS254" s="66"/>
      <c r="GGT254" s="66"/>
      <c r="GGU254" s="66"/>
      <c r="GGV254" s="66"/>
      <c r="GGW254" s="66"/>
      <c r="GGX254" s="66"/>
      <c r="GGY254" s="66"/>
      <c r="GGZ254" s="66"/>
      <c r="GHA254" s="66"/>
      <c r="GHB254" s="66"/>
      <c r="GHC254" s="66"/>
      <c r="GHD254" s="66"/>
      <c r="GHE254" s="66"/>
      <c r="GHF254" s="66"/>
      <c r="GHG254" s="66"/>
      <c r="GHH254" s="66"/>
      <c r="GHI254" s="66"/>
      <c r="GHJ254" s="66"/>
      <c r="GHK254" s="66"/>
      <c r="GHL254" s="66"/>
      <c r="GHM254" s="66"/>
      <c r="GHN254" s="66"/>
      <c r="GHO254" s="66"/>
      <c r="GHP254" s="66"/>
      <c r="GHQ254" s="66"/>
      <c r="GHR254" s="66"/>
      <c r="GHS254" s="66"/>
      <c r="GHT254" s="66"/>
      <c r="GHU254" s="66"/>
      <c r="GHV254" s="66"/>
      <c r="GHW254" s="66"/>
      <c r="GHX254" s="66"/>
      <c r="GHY254" s="66"/>
      <c r="GHZ254" s="66"/>
      <c r="GIA254" s="66"/>
      <c r="GIB254" s="66"/>
      <c r="GIC254" s="66"/>
      <c r="GID254" s="66"/>
      <c r="GIE254" s="66"/>
      <c r="GIF254" s="66"/>
      <c r="GIG254" s="66"/>
      <c r="GIH254" s="66"/>
      <c r="GII254" s="66"/>
      <c r="GIJ254" s="66"/>
      <c r="GIK254" s="66"/>
      <c r="GIL254" s="66"/>
      <c r="GIM254" s="66"/>
      <c r="GIN254" s="66"/>
      <c r="GIO254" s="66"/>
      <c r="GIP254" s="66"/>
      <c r="GIQ254" s="66"/>
      <c r="GIR254" s="66"/>
      <c r="GIS254" s="66"/>
      <c r="GIT254" s="66"/>
      <c r="GIU254" s="66"/>
      <c r="GIV254" s="66"/>
      <c r="GIW254" s="66"/>
      <c r="GIX254" s="66"/>
      <c r="GIY254" s="66"/>
      <c r="GIZ254" s="66"/>
      <c r="GJA254" s="66"/>
      <c r="GJB254" s="66"/>
      <c r="GJC254" s="66"/>
      <c r="GJD254" s="66"/>
      <c r="GJE254" s="66"/>
      <c r="GJF254" s="66"/>
      <c r="GJG254" s="66"/>
      <c r="GJH254" s="66"/>
      <c r="GJI254" s="66"/>
      <c r="GJJ254" s="66"/>
      <c r="GJK254" s="66"/>
      <c r="GJL254" s="66"/>
      <c r="GJM254" s="66"/>
      <c r="GJN254" s="66"/>
      <c r="GJO254" s="66"/>
      <c r="GJP254" s="66"/>
      <c r="GJQ254" s="66"/>
      <c r="GJR254" s="66"/>
      <c r="GJS254" s="66"/>
      <c r="GJT254" s="66"/>
      <c r="GJU254" s="66"/>
      <c r="GJV254" s="66"/>
      <c r="GJW254" s="66"/>
      <c r="GJX254" s="66"/>
      <c r="GJY254" s="66"/>
      <c r="GJZ254" s="66"/>
      <c r="GKA254" s="66"/>
      <c r="GKB254" s="66"/>
      <c r="GKC254" s="66"/>
      <c r="GKD254" s="66"/>
      <c r="GKE254" s="66"/>
      <c r="GKF254" s="66"/>
      <c r="GKG254" s="66"/>
      <c r="GKH254" s="66"/>
      <c r="GKI254" s="66"/>
      <c r="GKJ254" s="66"/>
      <c r="GKK254" s="66"/>
      <c r="GKL254" s="66"/>
      <c r="GKM254" s="66"/>
      <c r="GKN254" s="66"/>
      <c r="GKO254" s="66"/>
      <c r="GKP254" s="66"/>
      <c r="GKQ254" s="66"/>
      <c r="GKR254" s="66"/>
      <c r="GKS254" s="66"/>
      <c r="GKT254" s="66"/>
      <c r="GKU254" s="66"/>
      <c r="GKV254" s="66"/>
      <c r="GKW254" s="66"/>
      <c r="GKX254" s="66"/>
      <c r="GKY254" s="66"/>
      <c r="GKZ254" s="66"/>
      <c r="GLA254" s="66"/>
      <c r="GLB254" s="66"/>
      <c r="GLC254" s="66"/>
      <c r="GLD254" s="66"/>
      <c r="GLE254" s="66"/>
      <c r="GLF254" s="66"/>
      <c r="GLG254" s="66"/>
      <c r="GLH254" s="66"/>
      <c r="GLI254" s="66"/>
      <c r="GLJ254" s="66"/>
      <c r="GLK254" s="66"/>
      <c r="GLL254" s="66"/>
      <c r="GLM254" s="66"/>
      <c r="GLN254" s="66"/>
      <c r="GLO254" s="66"/>
      <c r="GLP254" s="66"/>
      <c r="GLQ254" s="66"/>
      <c r="GLR254" s="66"/>
      <c r="GLS254" s="66"/>
      <c r="GLT254" s="66"/>
      <c r="GLU254" s="66"/>
      <c r="GLV254" s="66"/>
      <c r="GLW254" s="66"/>
      <c r="GLX254" s="66"/>
      <c r="GLY254" s="66"/>
      <c r="GLZ254" s="66"/>
      <c r="GMA254" s="66"/>
      <c r="GMB254" s="66"/>
      <c r="GMC254" s="66"/>
      <c r="GMD254" s="66"/>
      <c r="GME254" s="66"/>
      <c r="GMF254" s="66"/>
      <c r="GMG254" s="66"/>
      <c r="GMH254" s="66"/>
      <c r="GMI254" s="66"/>
      <c r="GMJ254" s="66"/>
      <c r="GMK254" s="66"/>
      <c r="GML254" s="66"/>
      <c r="GMM254" s="66"/>
      <c r="GMN254" s="66"/>
      <c r="GMO254" s="66"/>
      <c r="GMP254" s="66"/>
      <c r="GMQ254" s="66"/>
      <c r="GMR254" s="66"/>
      <c r="GMS254" s="66"/>
      <c r="GMT254" s="66"/>
      <c r="GMU254" s="66"/>
      <c r="GMV254" s="66"/>
      <c r="GMW254" s="66"/>
      <c r="GMX254" s="66"/>
      <c r="GMY254" s="66"/>
      <c r="GMZ254" s="66"/>
      <c r="GNA254" s="66"/>
      <c r="GNB254" s="66"/>
      <c r="GNC254" s="66"/>
      <c r="GND254" s="66"/>
      <c r="GNE254" s="66"/>
      <c r="GNF254" s="66"/>
      <c r="GNG254" s="66"/>
      <c r="GNH254" s="66"/>
      <c r="GNI254" s="66"/>
      <c r="GNJ254" s="66"/>
      <c r="GNK254" s="66"/>
      <c r="GNL254" s="66"/>
      <c r="GNM254" s="66"/>
      <c r="GNN254" s="66"/>
      <c r="GNO254" s="66"/>
      <c r="GNP254" s="66"/>
      <c r="GNQ254" s="66"/>
      <c r="GNR254" s="66"/>
      <c r="GNS254" s="66"/>
      <c r="GNT254" s="66"/>
      <c r="GNU254" s="66"/>
      <c r="GNV254" s="66"/>
      <c r="GNW254" s="66"/>
      <c r="GNX254" s="66"/>
      <c r="GNY254" s="66"/>
      <c r="GNZ254" s="66"/>
      <c r="GOA254" s="66"/>
      <c r="GOB254" s="66"/>
      <c r="GOC254" s="66"/>
      <c r="GOD254" s="66"/>
      <c r="GOE254" s="66"/>
      <c r="GOF254" s="66"/>
      <c r="GOG254" s="66"/>
      <c r="GOH254" s="66"/>
      <c r="GOI254" s="66"/>
      <c r="GOJ254" s="66"/>
      <c r="GOK254" s="66"/>
      <c r="GOL254" s="66"/>
      <c r="GOM254" s="66"/>
      <c r="GON254" s="66"/>
      <c r="GOO254" s="66"/>
      <c r="GOP254" s="66"/>
      <c r="GOQ254" s="66"/>
      <c r="GOR254" s="66"/>
      <c r="GOS254" s="66"/>
      <c r="GOT254" s="66"/>
      <c r="GOU254" s="66"/>
      <c r="GOV254" s="66"/>
      <c r="GOW254" s="66"/>
      <c r="GOX254" s="66"/>
      <c r="GOY254" s="66"/>
      <c r="GOZ254" s="66"/>
      <c r="GPA254" s="66"/>
      <c r="GPB254" s="66"/>
      <c r="GPC254" s="66"/>
      <c r="GPD254" s="66"/>
      <c r="GPE254" s="66"/>
      <c r="GPF254" s="66"/>
      <c r="GPG254" s="66"/>
      <c r="GPH254" s="66"/>
      <c r="GPI254" s="66"/>
      <c r="GPJ254" s="66"/>
      <c r="GPK254" s="66"/>
      <c r="GPL254" s="66"/>
      <c r="GPM254" s="66"/>
      <c r="GPN254" s="66"/>
      <c r="GPO254" s="66"/>
      <c r="GPP254" s="66"/>
      <c r="GPQ254" s="66"/>
      <c r="GPR254" s="66"/>
      <c r="GPS254" s="66"/>
      <c r="GPT254" s="66"/>
      <c r="GPU254" s="66"/>
      <c r="GPV254" s="66"/>
      <c r="GPW254" s="66"/>
      <c r="GPX254" s="66"/>
      <c r="GPY254" s="66"/>
      <c r="GPZ254" s="66"/>
      <c r="GQA254" s="66"/>
      <c r="GQB254" s="66"/>
      <c r="GQC254" s="66"/>
      <c r="GQD254" s="66"/>
      <c r="GQE254" s="66"/>
      <c r="GQF254" s="66"/>
      <c r="GQG254" s="66"/>
      <c r="GQH254" s="66"/>
      <c r="GQI254" s="66"/>
      <c r="GQJ254" s="66"/>
      <c r="GQK254" s="66"/>
      <c r="GQL254" s="66"/>
      <c r="GQM254" s="66"/>
      <c r="GQN254" s="66"/>
      <c r="GQO254" s="66"/>
      <c r="GQP254" s="66"/>
      <c r="GQQ254" s="66"/>
      <c r="GQR254" s="66"/>
      <c r="GQS254" s="66"/>
      <c r="GQT254" s="66"/>
      <c r="GQU254" s="66"/>
      <c r="GQV254" s="66"/>
      <c r="GQW254" s="66"/>
      <c r="GQX254" s="66"/>
      <c r="GQY254" s="66"/>
      <c r="GQZ254" s="66"/>
      <c r="GRA254" s="66"/>
      <c r="GRB254" s="66"/>
      <c r="GRC254" s="66"/>
      <c r="GRD254" s="66"/>
      <c r="GRE254" s="66"/>
      <c r="GRF254" s="66"/>
      <c r="GRG254" s="66"/>
      <c r="GRH254" s="66"/>
      <c r="GRI254" s="66"/>
      <c r="GRJ254" s="66"/>
      <c r="GRK254" s="66"/>
      <c r="GRL254" s="66"/>
      <c r="GRM254" s="66"/>
      <c r="GRN254" s="66"/>
      <c r="GRO254" s="66"/>
      <c r="GRP254" s="66"/>
      <c r="GRQ254" s="66"/>
      <c r="GRR254" s="66"/>
      <c r="GRS254" s="66"/>
      <c r="GRT254" s="66"/>
      <c r="GRU254" s="66"/>
      <c r="GRV254" s="66"/>
      <c r="GRW254" s="66"/>
      <c r="GRX254" s="66"/>
      <c r="GRY254" s="66"/>
      <c r="GRZ254" s="66"/>
      <c r="GSA254" s="66"/>
      <c r="GSB254" s="66"/>
      <c r="GSC254" s="66"/>
      <c r="GSD254" s="66"/>
      <c r="GSE254" s="66"/>
      <c r="GSF254" s="66"/>
      <c r="GSG254" s="66"/>
      <c r="GSH254" s="66"/>
      <c r="GSI254" s="66"/>
      <c r="GSJ254" s="66"/>
      <c r="GSK254" s="66"/>
      <c r="GSL254" s="66"/>
      <c r="GSM254" s="66"/>
      <c r="GSN254" s="66"/>
      <c r="GSO254" s="66"/>
      <c r="GSP254" s="66"/>
      <c r="GSQ254" s="66"/>
      <c r="GSR254" s="66"/>
      <c r="GSS254" s="66"/>
      <c r="GST254" s="66"/>
      <c r="GSU254" s="66"/>
      <c r="GSV254" s="66"/>
      <c r="GSW254" s="66"/>
      <c r="GSX254" s="66"/>
      <c r="GSY254" s="66"/>
      <c r="GSZ254" s="66"/>
      <c r="GTA254" s="66"/>
      <c r="GTB254" s="66"/>
      <c r="GTC254" s="66"/>
      <c r="GTD254" s="66"/>
      <c r="GTE254" s="66"/>
      <c r="GTF254" s="66"/>
      <c r="GTG254" s="66"/>
      <c r="GTH254" s="66"/>
      <c r="GTI254" s="66"/>
      <c r="GTJ254" s="66"/>
      <c r="GTK254" s="66"/>
      <c r="GTL254" s="66"/>
      <c r="GTM254" s="66"/>
      <c r="GTN254" s="66"/>
      <c r="GTO254" s="66"/>
      <c r="GTP254" s="66"/>
      <c r="GTQ254" s="66"/>
      <c r="GTR254" s="66"/>
      <c r="GTS254" s="66"/>
      <c r="GTT254" s="66"/>
      <c r="GTU254" s="66"/>
      <c r="GTV254" s="66"/>
      <c r="GTW254" s="66"/>
      <c r="GTX254" s="66"/>
      <c r="GTY254" s="66"/>
      <c r="GTZ254" s="66"/>
      <c r="GUA254" s="66"/>
      <c r="GUB254" s="66"/>
      <c r="GUC254" s="66"/>
      <c r="GUD254" s="66"/>
      <c r="GUE254" s="66"/>
      <c r="GUF254" s="66"/>
      <c r="GUG254" s="66"/>
      <c r="GUH254" s="66"/>
      <c r="GUI254" s="66"/>
      <c r="GUJ254" s="66"/>
      <c r="GUK254" s="66"/>
      <c r="GUL254" s="66"/>
      <c r="GUM254" s="66"/>
      <c r="GUN254" s="66"/>
      <c r="GUO254" s="66"/>
      <c r="GUP254" s="66"/>
      <c r="GUQ254" s="66"/>
      <c r="GUR254" s="66"/>
      <c r="GUS254" s="66"/>
      <c r="GUT254" s="66"/>
      <c r="GUU254" s="66"/>
      <c r="GUV254" s="66"/>
      <c r="GUW254" s="66"/>
      <c r="GUX254" s="66"/>
      <c r="GUY254" s="66"/>
      <c r="GUZ254" s="66"/>
      <c r="GVA254" s="66"/>
      <c r="GVB254" s="66"/>
      <c r="GVC254" s="66"/>
      <c r="GVD254" s="66"/>
      <c r="GVE254" s="66"/>
      <c r="GVF254" s="66"/>
      <c r="GVG254" s="66"/>
      <c r="GVH254" s="66"/>
      <c r="GVI254" s="66"/>
      <c r="GVJ254" s="66"/>
      <c r="GVK254" s="66"/>
      <c r="GVL254" s="66"/>
      <c r="GVM254" s="66"/>
      <c r="GVN254" s="66"/>
      <c r="GVO254" s="66"/>
      <c r="GVP254" s="66"/>
      <c r="GVQ254" s="66"/>
      <c r="GVR254" s="66"/>
      <c r="GVS254" s="66"/>
      <c r="GVT254" s="66"/>
      <c r="GVU254" s="66"/>
      <c r="GVV254" s="66"/>
      <c r="GVW254" s="66"/>
      <c r="GVX254" s="66"/>
      <c r="GVY254" s="66"/>
      <c r="GVZ254" s="66"/>
      <c r="GWA254" s="66"/>
      <c r="GWB254" s="66"/>
      <c r="GWC254" s="66"/>
      <c r="GWD254" s="66"/>
      <c r="GWE254" s="66"/>
      <c r="GWF254" s="66"/>
      <c r="GWG254" s="66"/>
      <c r="GWH254" s="66"/>
      <c r="GWI254" s="66"/>
      <c r="GWJ254" s="66"/>
      <c r="GWK254" s="66"/>
      <c r="GWL254" s="66"/>
      <c r="GWM254" s="66"/>
      <c r="GWN254" s="66"/>
      <c r="GWO254" s="66"/>
      <c r="GWP254" s="66"/>
      <c r="GWQ254" s="66"/>
      <c r="GWR254" s="66"/>
      <c r="GWS254" s="66"/>
      <c r="GWT254" s="66"/>
      <c r="GWU254" s="66"/>
      <c r="GWV254" s="66"/>
      <c r="GWW254" s="66"/>
      <c r="GWX254" s="66"/>
      <c r="GWY254" s="66"/>
      <c r="GWZ254" s="66"/>
      <c r="GXA254" s="66"/>
      <c r="GXB254" s="66"/>
      <c r="GXC254" s="66"/>
      <c r="GXD254" s="66"/>
      <c r="GXE254" s="66"/>
      <c r="GXF254" s="66"/>
      <c r="GXG254" s="66"/>
      <c r="GXH254" s="66"/>
      <c r="GXI254" s="66"/>
      <c r="GXJ254" s="66"/>
      <c r="GXK254" s="66"/>
      <c r="GXL254" s="66"/>
      <c r="GXM254" s="66"/>
      <c r="GXN254" s="66"/>
      <c r="GXO254" s="66"/>
      <c r="GXP254" s="66"/>
      <c r="GXQ254" s="66"/>
      <c r="GXR254" s="66"/>
      <c r="GXS254" s="66"/>
      <c r="GXT254" s="66"/>
      <c r="GXU254" s="66"/>
      <c r="GXV254" s="66"/>
      <c r="GXW254" s="66"/>
      <c r="GXX254" s="66"/>
      <c r="GXY254" s="66"/>
      <c r="GXZ254" s="66"/>
      <c r="GYA254" s="66"/>
      <c r="GYB254" s="66"/>
      <c r="GYC254" s="66"/>
      <c r="GYD254" s="66"/>
      <c r="GYE254" s="66"/>
      <c r="GYF254" s="66"/>
      <c r="GYG254" s="66"/>
      <c r="GYH254" s="66"/>
      <c r="GYI254" s="66"/>
      <c r="GYJ254" s="66"/>
      <c r="GYK254" s="66"/>
      <c r="GYL254" s="66"/>
      <c r="GYM254" s="66"/>
      <c r="GYN254" s="66"/>
      <c r="GYO254" s="66"/>
      <c r="GYP254" s="66"/>
      <c r="GYQ254" s="66"/>
      <c r="GYR254" s="66"/>
      <c r="GYS254" s="66"/>
      <c r="GYT254" s="66"/>
      <c r="GYU254" s="66"/>
      <c r="GYV254" s="66"/>
      <c r="GYW254" s="66"/>
      <c r="GYX254" s="66"/>
      <c r="GYY254" s="66"/>
      <c r="GYZ254" s="66"/>
      <c r="GZA254" s="66"/>
      <c r="GZB254" s="66"/>
      <c r="GZC254" s="66"/>
      <c r="GZD254" s="66"/>
      <c r="GZE254" s="66"/>
      <c r="GZF254" s="66"/>
      <c r="GZG254" s="66"/>
      <c r="GZH254" s="66"/>
      <c r="GZI254" s="66"/>
      <c r="GZJ254" s="66"/>
      <c r="GZK254" s="66"/>
      <c r="GZL254" s="66"/>
      <c r="GZM254" s="66"/>
      <c r="GZN254" s="66"/>
      <c r="GZO254" s="66"/>
      <c r="GZP254" s="66"/>
      <c r="GZQ254" s="66"/>
      <c r="GZR254" s="66"/>
      <c r="GZS254" s="66"/>
      <c r="GZT254" s="66"/>
      <c r="GZU254" s="66"/>
      <c r="GZV254" s="66"/>
      <c r="GZW254" s="66"/>
      <c r="GZX254" s="66"/>
      <c r="GZY254" s="66"/>
      <c r="GZZ254" s="66"/>
      <c r="HAA254" s="66"/>
      <c r="HAB254" s="66"/>
      <c r="HAC254" s="66"/>
      <c r="HAD254" s="66"/>
      <c r="HAE254" s="66"/>
      <c r="HAF254" s="66"/>
      <c r="HAG254" s="66"/>
      <c r="HAH254" s="66"/>
      <c r="HAI254" s="66"/>
      <c r="HAJ254" s="66"/>
      <c r="HAK254" s="66"/>
      <c r="HAL254" s="66"/>
      <c r="HAM254" s="66"/>
      <c r="HAN254" s="66"/>
      <c r="HAO254" s="66"/>
      <c r="HAP254" s="66"/>
      <c r="HAQ254" s="66"/>
      <c r="HAR254" s="66"/>
      <c r="HAS254" s="66"/>
      <c r="HAT254" s="66"/>
      <c r="HAU254" s="66"/>
      <c r="HAV254" s="66"/>
      <c r="HAW254" s="66"/>
      <c r="HAX254" s="66"/>
      <c r="HAY254" s="66"/>
      <c r="HAZ254" s="66"/>
      <c r="HBA254" s="66"/>
      <c r="HBB254" s="66"/>
      <c r="HBC254" s="66"/>
      <c r="HBD254" s="66"/>
      <c r="HBE254" s="66"/>
      <c r="HBF254" s="66"/>
      <c r="HBG254" s="66"/>
      <c r="HBH254" s="66"/>
      <c r="HBI254" s="66"/>
      <c r="HBJ254" s="66"/>
      <c r="HBK254" s="66"/>
      <c r="HBL254" s="66"/>
      <c r="HBM254" s="66"/>
      <c r="HBN254" s="66"/>
      <c r="HBO254" s="66"/>
      <c r="HBP254" s="66"/>
      <c r="HBQ254" s="66"/>
      <c r="HBR254" s="66"/>
      <c r="HBS254" s="66"/>
      <c r="HBT254" s="66"/>
      <c r="HBU254" s="66"/>
      <c r="HBV254" s="66"/>
      <c r="HBW254" s="66"/>
      <c r="HBX254" s="66"/>
      <c r="HBY254" s="66"/>
      <c r="HBZ254" s="66"/>
      <c r="HCA254" s="66"/>
      <c r="HCB254" s="66"/>
      <c r="HCC254" s="66"/>
      <c r="HCD254" s="66"/>
      <c r="HCE254" s="66"/>
      <c r="HCF254" s="66"/>
      <c r="HCG254" s="66"/>
      <c r="HCH254" s="66"/>
      <c r="HCI254" s="66"/>
      <c r="HCJ254" s="66"/>
      <c r="HCK254" s="66"/>
      <c r="HCL254" s="66"/>
      <c r="HCM254" s="66"/>
      <c r="HCN254" s="66"/>
      <c r="HCO254" s="66"/>
      <c r="HCP254" s="66"/>
      <c r="HCQ254" s="66"/>
      <c r="HCR254" s="66"/>
      <c r="HCS254" s="66"/>
      <c r="HCT254" s="66"/>
      <c r="HCU254" s="66"/>
      <c r="HCV254" s="66"/>
      <c r="HCW254" s="66"/>
      <c r="HCX254" s="66"/>
      <c r="HCY254" s="66"/>
      <c r="HCZ254" s="66"/>
      <c r="HDA254" s="66"/>
      <c r="HDB254" s="66"/>
      <c r="HDC254" s="66"/>
      <c r="HDD254" s="66"/>
      <c r="HDE254" s="66"/>
      <c r="HDF254" s="66"/>
      <c r="HDG254" s="66"/>
      <c r="HDH254" s="66"/>
      <c r="HDI254" s="66"/>
      <c r="HDJ254" s="66"/>
      <c r="HDK254" s="66"/>
      <c r="HDL254" s="66"/>
      <c r="HDM254" s="66"/>
      <c r="HDN254" s="66"/>
      <c r="HDO254" s="66"/>
      <c r="HDP254" s="66"/>
      <c r="HDQ254" s="66"/>
      <c r="HDR254" s="66"/>
      <c r="HDS254" s="66"/>
      <c r="HDT254" s="66"/>
      <c r="HDU254" s="66"/>
      <c r="HDV254" s="66"/>
      <c r="HDW254" s="66"/>
      <c r="HDX254" s="66"/>
      <c r="HDY254" s="66"/>
      <c r="HDZ254" s="66"/>
      <c r="HEA254" s="66"/>
      <c r="HEB254" s="66"/>
      <c r="HEC254" s="66"/>
      <c r="HED254" s="66"/>
      <c r="HEE254" s="66"/>
      <c r="HEF254" s="66"/>
      <c r="HEG254" s="66"/>
      <c r="HEH254" s="66"/>
      <c r="HEI254" s="66"/>
      <c r="HEJ254" s="66"/>
      <c r="HEK254" s="66"/>
      <c r="HEL254" s="66"/>
      <c r="HEM254" s="66"/>
      <c r="HEN254" s="66"/>
      <c r="HEO254" s="66"/>
      <c r="HEP254" s="66"/>
      <c r="HEQ254" s="66"/>
      <c r="HER254" s="66"/>
      <c r="HES254" s="66"/>
      <c r="HET254" s="66"/>
      <c r="HEU254" s="66"/>
      <c r="HEV254" s="66"/>
      <c r="HEW254" s="66"/>
      <c r="HEX254" s="66"/>
      <c r="HEY254" s="66"/>
      <c r="HEZ254" s="66"/>
      <c r="HFA254" s="66"/>
      <c r="HFB254" s="66"/>
      <c r="HFC254" s="66"/>
      <c r="HFD254" s="66"/>
      <c r="HFE254" s="66"/>
      <c r="HFF254" s="66"/>
      <c r="HFG254" s="66"/>
      <c r="HFH254" s="66"/>
      <c r="HFI254" s="66"/>
      <c r="HFJ254" s="66"/>
      <c r="HFK254" s="66"/>
      <c r="HFL254" s="66"/>
      <c r="HFM254" s="66"/>
      <c r="HFN254" s="66"/>
      <c r="HFO254" s="66"/>
      <c r="HFP254" s="66"/>
      <c r="HFQ254" s="66"/>
      <c r="HFR254" s="66"/>
      <c r="HFS254" s="66"/>
      <c r="HFT254" s="66"/>
      <c r="HFU254" s="66"/>
      <c r="HFV254" s="66"/>
      <c r="HFW254" s="66"/>
      <c r="HFX254" s="66"/>
      <c r="HFY254" s="66"/>
      <c r="HFZ254" s="66"/>
      <c r="HGA254" s="66"/>
      <c r="HGB254" s="66"/>
      <c r="HGC254" s="66"/>
      <c r="HGD254" s="66"/>
      <c r="HGE254" s="66"/>
      <c r="HGF254" s="66"/>
      <c r="HGG254" s="66"/>
      <c r="HGH254" s="66"/>
      <c r="HGI254" s="66"/>
      <c r="HGJ254" s="66"/>
      <c r="HGK254" s="66"/>
      <c r="HGL254" s="66"/>
      <c r="HGM254" s="66"/>
      <c r="HGN254" s="66"/>
      <c r="HGO254" s="66"/>
      <c r="HGP254" s="66"/>
      <c r="HGQ254" s="66"/>
      <c r="HGR254" s="66"/>
      <c r="HGS254" s="66"/>
      <c r="HGT254" s="66"/>
      <c r="HGU254" s="66"/>
      <c r="HGV254" s="66"/>
      <c r="HGW254" s="66"/>
      <c r="HGX254" s="66"/>
      <c r="HGY254" s="66"/>
      <c r="HGZ254" s="66"/>
      <c r="HHA254" s="66"/>
      <c r="HHB254" s="66"/>
      <c r="HHC254" s="66"/>
      <c r="HHD254" s="66"/>
      <c r="HHE254" s="66"/>
      <c r="HHF254" s="66"/>
      <c r="HHG254" s="66"/>
      <c r="HHH254" s="66"/>
      <c r="HHI254" s="66"/>
      <c r="HHJ254" s="66"/>
      <c r="HHK254" s="66"/>
      <c r="HHL254" s="66"/>
      <c r="HHM254" s="66"/>
      <c r="HHN254" s="66"/>
      <c r="HHO254" s="66"/>
      <c r="HHP254" s="66"/>
      <c r="HHQ254" s="66"/>
      <c r="HHR254" s="66"/>
      <c r="HHS254" s="66"/>
      <c r="HHT254" s="66"/>
      <c r="HHU254" s="66"/>
      <c r="HHV254" s="66"/>
      <c r="HHW254" s="66"/>
      <c r="HHX254" s="66"/>
      <c r="HHY254" s="66"/>
      <c r="HHZ254" s="66"/>
      <c r="HIA254" s="66"/>
      <c r="HIB254" s="66"/>
      <c r="HIC254" s="66"/>
      <c r="HID254" s="66"/>
      <c r="HIE254" s="66"/>
      <c r="HIF254" s="66"/>
      <c r="HIG254" s="66"/>
      <c r="HIH254" s="66"/>
      <c r="HII254" s="66"/>
      <c r="HIJ254" s="66"/>
      <c r="HIK254" s="66"/>
      <c r="HIL254" s="66"/>
      <c r="HIM254" s="66"/>
      <c r="HIN254" s="66"/>
      <c r="HIO254" s="66"/>
      <c r="HIP254" s="66"/>
      <c r="HIQ254" s="66"/>
      <c r="HIR254" s="66"/>
      <c r="HIS254" s="66"/>
      <c r="HIT254" s="66"/>
      <c r="HIU254" s="66"/>
      <c r="HIV254" s="66"/>
      <c r="HIW254" s="66"/>
      <c r="HIX254" s="66"/>
      <c r="HIY254" s="66"/>
      <c r="HIZ254" s="66"/>
      <c r="HJA254" s="66"/>
      <c r="HJB254" s="66"/>
      <c r="HJC254" s="66"/>
      <c r="HJD254" s="66"/>
      <c r="HJE254" s="66"/>
      <c r="HJF254" s="66"/>
      <c r="HJG254" s="66"/>
      <c r="HJH254" s="66"/>
      <c r="HJI254" s="66"/>
      <c r="HJJ254" s="66"/>
      <c r="HJK254" s="66"/>
      <c r="HJL254" s="66"/>
      <c r="HJM254" s="66"/>
      <c r="HJN254" s="66"/>
      <c r="HJO254" s="66"/>
      <c r="HJP254" s="66"/>
      <c r="HJQ254" s="66"/>
      <c r="HJR254" s="66"/>
      <c r="HJS254" s="66"/>
      <c r="HJT254" s="66"/>
      <c r="HJU254" s="66"/>
      <c r="HJV254" s="66"/>
      <c r="HJW254" s="66"/>
      <c r="HJX254" s="66"/>
      <c r="HJY254" s="66"/>
      <c r="HJZ254" s="66"/>
      <c r="HKA254" s="66"/>
      <c r="HKB254" s="66"/>
      <c r="HKC254" s="66"/>
      <c r="HKD254" s="66"/>
      <c r="HKE254" s="66"/>
      <c r="HKF254" s="66"/>
      <c r="HKG254" s="66"/>
      <c r="HKH254" s="66"/>
      <c r="HKI254" s="66"/>
      <c r="HKJ254" s="66"/>
      <c r="HKK254" s="66"/>
      <c r="HKL254" s="66"/>
      <c r="HKM254" s="66"/>
      <c r="HKN254" s="66"/>
      <c r="HKO254" s="66"/>
      <c r="HKP254" s="66"/>
      <c r="HKQ254" s="66"/>
      <c r="HKR254" s="66"/>
      <c r="HKS254" s="66"/>
      <c r="HKT254" s="66"/>
      <c r="HKU254" s="66"/>
      <c r="HKV254" s="66"/>
      <c r="HKW254" s="66"/>
      <c r="HKX254" s="66"/>
      <c r="HKY254" s="66"/>
      <c r="HKZ254" s="66"/>
      <c r="HLA254" s="66"/>
      <c r="HLB254" s="66"/>
      <c r="HLC254" s="66"/>
      <c r="HLD254" s="66"/>
      <c r="HLE254" s="66"/>
      <c r="HLF254" s="66"/>
      <c r="HLG254" s="66"/>
      <c r="HLH254" s="66"/>
      <c r="HLI254" s="66"/>
      <c r="HLJ254" s="66"/>
      <c r="HLK254" s="66"/>
      <c r="HLL254" s="66"/>
      <c r="HLM254" s="66"/>
      <c r="HLN254" s="66"/>
      <c r="HLO254" s="66"/>
      <c r="HLP254" s="66"/>
      <c r="HLQ254" s="66"/>
      <c r="HLR254" s="66"/>
      <c r="HLS254" s="66"/>
      <c r="HLT254" s="66"/>
      <c r="HLU254" s="66"/>
      <c r="HLV254" s="66"/>
      <c r="HLW254" s="66"/>
      <c r="HLX254" s="66"/>
      <c r="HLY254" s="66"/>
      <c r="HLZ254" s="66"/>
      <c r="HMA254" s="66"/>
      <c r="HMB254" s="66"/>
      <c r="HMC254" s="66"/>
      <c r="HMD254" s="66"/>
      <c r="HME254" s="66"/>
      <c r="HMF254" s="66"/>
      <c r="HMG254" s="66"/>
      <c r="HMH254" s="66"/>
      <c r="HMI254" s="66"/>
      <c r="HMJ254" s="66"/>
      <c r="HMK254" s="66"/>
      <c r="HML254" s="66"/>
      <c r="HMM254" s="66"/>
      <c r="HMN254" s="66"/>
      <c r="HMO254" s="66"/>
      <c r="HMP254" s="66"/>
      <c r="HMQ254" s="66"/>
      <c r="HMR254" s="66"/>
      <c r="HMS254" s="66"/>
      <c r="HMT254" s="66"/>
      <c r="HMU254" s="66"/>
      <c r="HMV254" s="66"/>
      <c r="HMW254" s="66"/>
      <c r="HMX254" s="66"/>
      <c r="HMY254" s="66"/>
      <c r="HMZ254" s="66"/>
      <c r="HNA254" s="66"/>
      <c r="HNB254" s="66"/>
      <c r="HNC254" s="66"/>
      <c r="HND254" s="66"/>
      <c r="HNE254" s="66"/>
      <c r="HNF254" s="66"/>
      <c r="HNG254" s="66"/>
      <c r="HNH254" s="66"/>
      <c r="HNI254" s="66"/>
      <c r="HNJ254" s="66"/>
      <c r="HNK254" s="66"/>
      <c r="HNL254" s="66"/>
      <c r="HNM254" s="66"/>
      <c r="HNN254" s="66"/>
      <c r="HNO254" s="66"/>
      <c r="HNP254" s="66"/>
      <c r="HNQ254" s="66"/>
      <c r="HNR254" s="66"/>
      <c r="HNS254" s="66"/>
      <c r="HNT254" s="66"/>
      <c r="HNU254" s="66"/>
      <c r="HNV254" s="66"/>
      <c r="HNW254" s="66"/>
      <c r="HNX254" s="66"/>
      <c r="HNY254" s="66"/>
      <c r="HNZ254" s="66"/>
      <c r="HOA254" s="66"/>
      <c r="HOB254" s="66"/>
      <c r="HOC254" s="66"/>
      <c r="HOD254" s="66"/>
      <c r="HOE254" s="66"/>
      <c r="HOF254" s="66"/>
      <c r="HOG254" s="66"/>
      <c r="HOH254" s="66"/>
      <c r="HOI254" s="66"/>
      <c r="HOJ254" s="66"/>
      <c r="HOK254" s="66"/>
      <c r="HOL254" s="66"/>
      <c r="HOM254" s="66"/>
      <c r="HON254" s="66"/>
      <c r="HOO254" s="66"/>
      <c r="HOP254" s="66"/>
      <c r="HOQ254" s="66"/>
      <c r="HOR254" s="66"/>
      <c r="HOS254" s="66"/>
      <c r="HOT254" s="66"/>
      <c r="HOU254" s="66"/>
      <c r="HOV254" s="66"/>
      <c r="HOW254" s="66"/>
      <c r="HOX254" s="66"/>
      <c r="HOY254" s="66"/>
      <c r="HOZ254" s="66"/>
      <c r="HPA254" s="66"/>
      <c r="HPB254" s="66"/>
      <c r="HPC254" s="66"/>
      <c r="HPD254" s="66"/>
      <c r="HPE254" s="66"/>
      <c r="HPF254" s="66"/>
      <c r="HPG254" s="66"/>
      <c r="HPH254" s="66"/>
      <c r="HPI254" s="66"/>
      <c r="HPJ254" s="66"/>
      <c r="HPK254" s="66"/>
      <c r="HPL254" s="66"/>
      <c r="HPM254" s="66"/>
      <c r="HPN254" s="66"/>
      <c r="HPO254" s="66"/>
      <c r="HPP254" s="66"/>
      <c r="HPQ254" s="66"/>
      <c r="HPR254" s="66"/>
      <c r="HPS254" s="66"/>
      <c r="HPT254" s="66"/>
      <c r="HPU254" s="66"/>
      <c r="HPV254" s="66"/>
      <c r="HPW254" s="66"/>
      <c r="HPX254" s="66"/>
      <c r="HPY254" s="66"/>
      <c r="HPZ254" s="66"/>
      <c r="HQA254" s="66"/>
      <c r="HQB254" s="66"/>
      <c r="HQC254" s="66"/>
      <c r="HQD254" s="66"/>
      <c r="HQE254" s="66"/>
      <c r="HQF254" s="66"/>
      <c r="HQG254" s="66"/>
      <c r="HQH254" s="66"/>
      <c r="HQI254" s="66"/>
      <c r="HQJ254" s="66"/>
      <c r="HQK254" s="66"/>
      <c r="HQL254" s="66"/>
      <c r="HQM254" s="66"/>
      <c r="HQN254" s="66"/>
      <c r="HQO254" s="66"/>
      <c r="HQP254" s="66"/>
      <c r="HQQ254" s="66"/>
      <c r="HQR254" s="66"/>
      <c r="HQS254" s="66"/>
      <c r="HQT254" s="66"/>
      <c r="HQU254" s="66"/>
      <c r="HQV254" s="66"/>
      <c r="HQW254" s="66"/>
      <c r="HQX254" s="66"/>
      <c r="HQY254" s="66"/>
      <c r="HQZ254" s="66"/>
      <c r="HRA254" s="66"/>
      <c r="HRB254" s="66"/>
      <c r="HRC254" s="66"/>
      <c r="HRD254" s="66"/>
      <c r="HRE254" s="66"/>
      <c r="HRF254" s="66"/>
      <c r="HRG254" s="66"/>
      <c r="HRH254" s="66"/>
      <c r="HRI254" s="66"/>
      <c r="HRJ254" s="66"/>
      <c r="HRK254" s="66"/>
      <c r="HRL254" s="66"/>
      <c r="HRM254" s="66"/>
      <c r="HRN254" s="66"/>
      <c r="HRO254" s="66"/>
      <c r="HRP254" s="66"/>
      <c r="HRQ254" s="66"/>
      <c r="HRR254" s="66"/>
      <c r="HRS254" s="66"/>
      <c r="HRT254" s="66"/>
      <c r="HRU254" s="66"/>
      <c r="HRV254" s="66"/>
      <c r="HRW254" s="66"/>
      <c r="HRX254" s="66"/>
      <c r="HRY254" s="66"/>
      <c r="HRZ254" s="66"/>
      <c r="HSA254" s="66"/>
      <c r="HSB254" s="66"/>
      <c r="HSC254" s="66"/>
      <c r="HSD254" s="66"/>
      <c r="HSE254" s="66"/>
      <c r="HSF254" s="66"/>
      <c r="HSG254" s="66"/>
      <c r="HSH254" s="66"/>
      <c r="HSI254" s="66"/>
      <c r="HSJ254" s="66"/>
      <c r="HSK254" s="66"/>
      <c r="HSL254" s="66"/>
      <c r="HSM254" s="66"/>
      <c r="HSN254" s="66"/>
      <c r="HSO254" s="66"/>
      <c r="HSP254" s="66"/>
      <c r="HSQ254" s="66"/>
      <c r="HSR254" s="66"/>
      <c r="HSS254" s="66"/>
      <c r="HST254" s="66"/>
      <c r="HSU254" s="66"/>
      <c r="HSV254" s="66"/>
      <c r="HSW254" s="66"/>
      <c r="HSX254" s="66"/>
      <c r="HSY254" s="66"/>
      <c r="HSZ254" s="66"/>
      <c r="HTA254" s="66"/>
      <c r="HTB254" s="66"/>
      <c r="HTC254" s="66"/>
      <c r="HTD254" s="66"/>
      <c r="HTE254" s="66"/>
      <c r="HTF254" s="66"/>
      <c r="HTG254" s="66"/>
      <c r="HTH254" s="66"/>
      <c r="HTI254" s="66"/>
      <c r="HTJ254" s="66"/>
      <c r="HTK254" s="66"/>
      <c r="HTL254" s="66"/>
      <c r="HTM254" s="66"/>
      <c r="HTN254" s="66"/>
      <c r="HTO254" s="66"/>
      <c r="HTP254" s="66"/>
      <c r="HTQ254" s="66"/>
      <c r="HTR254" s="66"/>
      <c r="HTS254" s="66"/>
      <c r="HTT254" s="66"/>
      <c r="HTU254" s="66"/>
      <c r="HTV254" s="66"/>
      <c r="HTW254" s="66"/>
      <c r="HTX254" s="66"/>
      <c r="HTY254" s="66"/>
      <c r="HTZ254" s="66"/>
      <c r="HUA254" s="66"/>
      <c r="HUB254" s="66"/>
      <c r="HUC254" s="66"/>
      <c r="HUD254" s="66"/>
      <c r="HUE254" s="66"/>
      <c r="HUF254" s="66"/>
      <c r="HUG254" s="66"/>
      <c r="HUH254" s="66"/>
      <c r="HUI254" s="66"/>
      <c r="HUJ254" s="66"/>
      <c r="HUK254" s="66"/>
      <c r="HUL254" s="66"/>
      <c r="HUM254" s="66"/>
      <c r="HUN254" s="66"/>
      <c r="HUO254" s="66"/>
      <c r="HUP254" s="66"/>
      <c r="HUQ254" s="66"/>
      <c r="HUR254" s="66"/>
      <c r="HUS254" s="66"/>
      <c r="HUT254" s="66"/>
      <c r="HUU254" s="66"/>
      <c r="HUV254" s="66"/>
      <c r="HUW254" s="66"/>
      <c r="HUX254" s="66"/>
      <c r="HUY254" s="66"/>
      <c r="HUZ254" s="66"/>
      <c r="HVA254" s="66"/>
      <c r="HVB254" s="66"/>
      <c r="HVC254" s="66"/>
      <c r="HVD254" s="66"/>
      <c r="HVE254" s="66"/>
      <c r="HVF254" s="66"/>
      <c r="HVG254" s="66"/>
      <c r="HVH254" s="66"/>
      <c r="HVI254" s="66"/>
      <c r="HVJ254" s="66"/>
      <c r="HVK254" s="66"/>
      <c r="HVL254" s="66"/>
      <c r="HVM254" s="66"/>
      <c r="HVN254" s="66"/>
      <c r="HVO254" s="66"/>
      <c r="HVP254" s="66"/>
      <c r="HVQ254" s="66"/>
      <c r="HVR254" s="66"/>
      <c r="HVS254" s="66"/>
      <c r="HVT254" s="66"/>
      <c r="HVU254" s="66"/>
      <c r="HVV254" s="66"/>
      <c r="HVW254" s="66"/>
      <c r="HVX254" s="66"/>
      <c r="HVY254" s="66"/>
      <c r="HVZ254" s="66"/>
      <c r="HWA254" s="66"/>
      <c r="HWB254" s="66"/>
      <c r="HWC254" s="66"/>
      <c r="HWD254" s="66"/>
      <c r="HWE254" s="66"/>
      <c r="HWF254" s="66"/>
      <c r="HWG254" s="66"/>
      <c r="HWH254" s="66"/>
      <c r="HWI254" s="66"/>
      <c r="HWJ254" s="66"/>
      <c r="HWK254" s="66"/>
      <c r="HWL254" s="66"/>
      <c r="HWM254" s="66"/>
      <c r="HWN254" s="66"/>
      <c r="HWO254" s="66"/>
      <c r="HWP254" s="66"/>
      <c r="HWQ254" s="66"/>
      <c r="HWR254" s="66"/>
      <c r="HWS254" s="66"/>
      <c r="HWT254" s="66"/>
      <c r="HWU254" s="66"/>
      <c r="HWV254" s="66"/>
      <c r="HWW254" s="66"/>
      <c r="HWX254" s="66"/>
      <c r="HWY254" s="66"/>
      <c r="HWZ254" s="66"/>
      <c r="HXA254" s="66"/>
      <c r="HXB254" s="66"/>
      <c r="HXC254" s="66"/>
      <c r="HXD254" s="66"/>
      <c r="HXE254" s="66"/>
      <c r="HXF254" s="66"/>
      <c r="HXG254" s="66"/>
      <c r="HXH254" s="66"/>
      <c r="HXI254" s="66"/>
      <c r="HXJ254" s="66"/>
      <c r="HXK254" s="66"/>
      <c r="HXL254" s="66"/>
      <c r="HXM254" s="66"/>
      <c r="HXN254" s="66"/>
      <c r="HXO254" s="66"/>
      <c r="HXP254" s="66"/>
      <c r="HXQ254" s="66"/>
      <c r="HXR254" s="66"/>
      <c r="HXS254" s="66"/>
      <c r="HXT254" s="66"/>
      <c r="HXU254" s="66"/>
      <c r="HXV254" s="66"/>
      <c r="HXW254" s="66"/>
      <c r="HXX254" s="66"/>
      <c r="HXY254" s="66"/>
      <c r="HXZ254" s="66"/>
      <c r="HYA254" s="66"/>
      <c r="HYB254" s="66"/>
      <c r="HYC254" s="66"/>
      <c r="HYD254" s="66"/>
      <c r="HYE254" s="66"/>
      <c r="HYF254" s="66"/>
      <c r="HYG254" s="66"/>
      <c r="HYH254" s="66"/>
      <c r="HYI254" s="66"/>
      <c r="HYJ254" s="66"/>
      <c r="HYK254" s="66"/>
      <c r="HYL254" s="66"/>
      <c r="HYM254" s="66"/>
      <c r="HYN254" s="66"/>
      <c r="HYO254" s="66"/>
      <c r="HYP254" s="66"/>
      <c r="HYQ254" s="66"/>
      <c r="HYR254" s="66"/>
      <c r="HYS254" s="66"/>
      <c r="HYT254" s="66"/>
      <c r="HYU254" s="66"/>
      <c r="HYV254" s="66"/>
      <c r="HYW254" s="66"/>
      <c r="HYX254" s="66"/>
      <c r="HYY254" s="66"/>
      <c r="HYZ254" s="66"/>
      <c r="HZA254" s="66"/>
      <c r="HZB254" s="66"/>
      <c r="HZC254" s="66"/>
      <c r="HZD254" s="66"/>
      <c r="HZE254" s="66"/>
      <c r="HZF254" s="66"/>
      <c r="HZG254" s="66"/>
      <c r="HZH254" s="66"/>
      <c r="HZI254" s="66"/>
      <c r="HZJ254" s="66"/>
      <c r="HZK254" s="66"/>
      <c r="HZL254" s="66"/>
      <c r="HZM254" s="66"/>
      <c r="HZN254" s="66"/>
      <c r="HZO254" s="66"/>
      <c r="HZP254" s="66"/>
      <c r="HZQ254" s="66"/>
      <c r="HZR254" s="66"/>
      <c r="HZS254" s="66"/>
      <c r="HZT254" s="66"/>
      <c r="HZU254" s="66"/>
      <c r="HZV254" s="66"/>
      <c r="HZW254" s="66"/>
      <c r="HZX254" s="66"/>
      <c r="HZY254" s="66"/>
      <c r="HZZ254" s="66"/>
      <c r="IAA254" s="66"/>
      <c r="IAB254" s="66"/>
      <c r="IAC254" s="66"/>
      <c r="IAD254" s="66"/>
      <c r="IAE254" s="66"/>
      <c r="IAF254" s="66"/>
      <c r="IAG254" s="66"/>
      <c r="IAH254" s="66"/>
      <c r="IAI254" s="66"/>
      <c r="IAJ254" s="66"/>
      <c r="IAK254" s="66"/>
      <c r="IAL254" s="66"/>
      <c r="IAM254" s="66"/>
      <c r="IAN254" s="66"/>
      <c r="IAO254" s="66"/>
      <c r="IAP254" s="66"/>
      <c r="IAQ254" s="66"/>
      <c r="IAR254" s="66"/>
      <c r="IAS254" s="66"/>
      <c r="IAT254" s="66"/>
      <c r="IAU254" s="66"/>
      <c r="IAV254" s="66"/>
      <c r="IAW254" s="66"/>
      <c r="IAX254" s="66"/>
      <c r="IAY254" s="66"/>
      <c r="IAZ254" s="66"/>
      <c r="IBA254" s="66"/>
      <c r="IBB254" s="66"/>
      <c r="IBC254" s="66"/>
      <c r="IBD254" s="66"/>
      <c r="IBE254" s="66"/>
      <c r="IBF254" s="66"/>
      <c r="IBG254" s="66"/>
      <c r="IBH254" s="66"/>
      <c r="IBI254" s="66"/>
      <c r="IBJ254" s="66"/>
      <c r="IBK254" s="66"/>
      <c r="IBL254" s="66"/>
      <c r="IBM254" s="66"/>
      <c r="IBN254" s="66"/>
      <c r="IBO254" s="66"/>
      <c r="IBP254" s="66"/>
      <c r="IBQ254" s="66"/>
      <c r="IBR254" s="66"/>
      <c r="IBS254" s="66"/>
      <c r="IBT254" s="66"/>
      <c r="IBU254" s="66"/>
      <c r="IBV254" s="66"/>
      <c r="IBW254" s="66"/>
      <c r="IBX254" s="66"/>
      <c r="IBY254" s="66"/>
      <c r="IBZ254" s="66"/>
      <c r="ICA254" s="66"/>
      <c r="ICB254" s="66"/>
      <c r="ICC254" s="66"/>
      <c r="ICD254" s="66"/>
      <c r="ICE254" s="66"/>
      <c r="ICF254" s="66"/>
      <c r="ICG254" s="66"/>
      <c r="ICH254" s="66"/>
      <c r="ICI254" s="66"/>
      <c r="ICJ254" s="66"/>
      <c r="ICK254" s="66"/>
      <c r="ICL254" s="66"/>
      <c r="ICM254" s="66"/>
      <c r="ICN254" s="66"/>
      <c r="ICO254" s="66"/>
      <c r="ICP254" s="66"/>
      <c r="ICQ254" s="66"/>
      <c r="ICR254" s="66"/>
      <c r="ICS254" s="66"/>
      <c r="ICT254" s="66"/>
      <c r="ICU254" s="66"/>
      <c r="ICV254" s="66"/>
      <c r="ICW254" s="66"/>
      <c r="ICX254" s="66"/>
      <c r="ICY254" s="66"/>
      <c r="ICZ254" s="66"/>
      <c r="IDA254" s="66"/>
      <c r="IDB254" s="66"/>
      <c r="IDC254" s="66"/>
      <c r="IDD254" s="66"/>
      <c r="IDE254" s="66"/>
      <c r="IDF254" s="66"/>
      <c r="IDG254" s="66"/>
      <c r="IDH254" s="66"/>
      <c r="IDI254" s="66"/>
      <c r="IDJ254" s="66"/>
      <c r="IDK254" s="66"/>
      <c r="IDL254" s="66"/>
      <c r="IDM254" s="66"/>
      <c r="IDN254" s="66"/>
      <c r="IDO254" s="66"/>
      <c r="IDP254" s="66"/>
      <c r="IDQ254" s="66"/>
      <c r="IDR254" s="66"/>
      <c r="IDS254" s="66"/>
      <c r="IDT254" s="66"/>
      <c r="IDU254" s="66"/>
      <c r="IDV254" s="66"/>
      <c r="IDW254" s="66"/>
      <c r="IDX254" s="66"/>
      <c r="IDY254" s="66"/>
      <c r="IDZ254" s="66"/>
      <c r="IEA254" s="66"/>
      <c r="IEB254" s="66"/>
      <c r="IEC254" s="66"/>
      <c r="IED254" s="66"/>
      <c r="IEE254" s="66"/>
      <c r="IEF254" s="66"/>
      <c r="IEG254" s="66"/>
      <c r="IEH254" s="66"/>
      <c r="IEI254" s="66"/>
      <c r="IEJ254" s="66"/>
      <c r="IEK254" s="66"/>
      <c r="IEL254" s="66"/>
      <c r="IEM254" s="66"/>
      <c r="IEN254" s="66"/>
      <c r="IEO254" s="66"/>
      <c r="IEP254" s="66"/>
      <c r="IEQ254" s="66"/>
      <c r="IER254" s="66"/>
      <c r="IES254" s="66"/>
      <c r="IET254" s="66"/>
      <c r="IEU254" s="66"/>
      <c r="IEV254" s="66"/>
      <c r="IEW254" s="66"/>
      <c r="IEX254" s="66"/>
      <c r="IEY254" s="66"/>
      <c r="IEZ254" s="66"/>
      <c r="IFA254" s="66"/>
      <c r="IFB254" s="66"/>
      <c r="IFC254" s="66"/>
      <c r="IFD254" s="66"/>
      <c r="IFE254" s="66"/>
      <c r="IFF254" s="66"/>
      <c r="IFG254" s="66"/>
      <c r="IFH254" s="66"/>
      <c r="IFI254" s="66"/>
      <c r="IFJ254" s="66"/>
      <c r="IFK254" s="66"/>
      <c r="IFL254" s="66"/>
      <c r="IFM254" s="66"/>
      <c r="IFN254" s="66"/>
      <c r="IFO254" s="66"/>
      <c r="IFP254" s="66"/>
      <c r="IFQ254" s="66"/>
      <c r="IFR254" s="66"/>
      <c r="IFS254" s="66"/>
      <c r="IFT254" s="66"/>
      <c r="IFU254" s="66"/>
      <c r="IFV254" s="66"/>
      <c r="IFW254" s="66"/>
      <c r="IFX254" s="66"/>
      <c r="IFY254" s="66"/>
      <c r="IFZ254" s="66"/>
      <c r="IGA254" s="66"/>
      <c r="IGB254" s="66"/>
      <c r="IGC254" s="66"/>
      <c r="IGD254" s="66"/>
      <c r="IGE254" s="66"/>
      <c r="IGF254" s="66"/>
      <c r="IGG254" s="66"/>
      <c r="IGH254" s="66"/>
      <c r="IGI254" s="66"/>
      <c r="IGJ254" s="66"/>
      <c r="IGK254" s="66"/>
      <c r="IGL254" s="66"/>
      <c r="IGM254" s="66"/>
      <c r="IGN254" s="66"/>
      <c r="IGO254" s="66"/>
      <c r="IGP254" s="66"/>
      <c r="IGQ254" s="66"/>
      <c r="IGR254" s="66"/>
      <c r="IGS254" s="66"/>
      <c r="IGT254" s="66"/>
      <c r="IGU254" s="66"/>
      <c r="IGV254" s="66"/>
      <c r="IGW254" s="66"/>
      <c r="IGX254" s="66"/>
      <c r="IGY254" s="66"/>
      <c r="IGZ254" s="66"/>
      <c r="IHA254" s="66"/>
      <c r="IHB254" s="66"/>
      <c r="IHC254" s="66"/>
      <c r="IHD254" s="66"/>
      <c r="IHE254" s="66"/>
      <c r="IHF254" s="66"/>
      <c r="IHG254" s="66"/>
      <c r="IHH254" s="66"/>
      <c r="IHI254" s="66"/>
      <c r="IHJ254" s="66"/>
      <c r="IHK254" s="66"/>
      <c r="IHL254" s="66"/>
      <c r="IHM254" s="66"/>
      <c r="IHN254" s="66"/>
      <c r="IHO254" s="66"/>
      <c r="IHP254" s="66"/>
      <c r="IHQ254" s="66"/>
      <c r="IHR254" s="66"/>
      <c r="IHS254" s="66"/>
      <c r="IHT254" s="66"/>
      <c r="IHU254" s="66"/>
      <c r="IHV254" s="66"/>
      <c r="IHW254" s="66"/>
      <c r="IHX254" s="66"/>
      <c r="IHY254" s="66"/>
      <c r="IHZ254" s="66"/>
      <c r="IIA254" s="66"/>
      <c r="IIB254" s="66"/>
      <c r="IIC254" s="66"/>
      <c r="IID254" s="66"/>
      <c r="IIE254" s="66"/>
      <c r="IIF254" s="66"/>
      <c r="IIG254" s="66"/>
      <c r="IIH254" s="66"/>
      <c r="III254" s="66"/>
      <c r="IIJ254" s="66"/>
      <c r="IIK254" s="66"/>
      <c r="IIL254" s="66"/>
      <c r="IIM254" s="66"/>
      <c r="IIN254" s="66"/>
      <c r="IIO254" s="66"/>
      <c r="IIP254" s="66"/>
      <c r="IIQ254" s="66"/>
      <c r="IIR254" s="66"/>
      <c r="IIS254" s="66"/>
      <c r="IIT254" s="66"/>
      <c r="IIU254" s="66"/>
      <c r="IIV254" s="66"/>
      <c r="IIW254" s="66"/>
      <c r="IIX254" s="66"/>
      <c r="IIY254" s="66"/>
      <c r="IIZ254" s="66"/>
      <c r="IJA254" s="66"/>
      <c r="IJB254" s="66"/>
      <c r="IJC254" s="66"/>
      <c r="IJD254" s="66"/>
      <c r="IJE254" s="66"/>
      <c r="IJF254" s="66"/>
      <c r="IJG254" s="66"/>
      <c r="IJH254" s="66"/>
      <c r="IJI254" s="66"/>
      <c r="IJJ254" s="66"/>
      <c r="IJK254" s="66"/>
      <c r="IJL254" s="66"/>
      <c r="IJM254" s="66"/>
      <c r="IJN254" s="66"/>
      <c r="IJO254" s="66"/>
      <c r="IJP254" s="66"/>
      <c r="IJQ254" s="66"/>
      <c r="IJR254" s="66"/>
      <c r="IJS254" s="66"/>
      <c r="IJT254" s="66"/>
      <c r="IJU254" s="66"/>
      <c r="IJV254" s="66"/>
      <c r="IJW254" s="66"/>
      <c r="IJX254" s="66"/>
      <c r="IJY254" s="66"/>
      <c r="IJZ254" s="66"/>
      <c r="IKA254" s="66"/>
      <c r="IKB254" s="66"/>
      <c r="IKC254" s="66"/>
      <c r="IKD254" s="66"/>
      <c r="IKE254" s="66"/>
      <c r="IKF254" s="66"/>
      <c r="IKG254" s="66"/>
      <c r="IKH254" s="66"/>
      <c r="IKI254" s="66"/>
      <c r="IKJ254" s="66"/>
      <c r="IKK254" s="66"/>
      <c r="IKL254" s="66"/>
      <c r="IKM254" s="66"/>
      <c r="IKN254" s="66"/>
      <c r="IKO254" s="66"/>
      <c r="IKP254" s="66"/>
      <c r="IKQ254" s="66"/>
      <c r="IKR254" s="66"/>
      <c r="IKS254" s="66"/>
      <c r="IKT254" s="66"/>
      <c r="IKU254" s="66"/>
      <c r="IKV254" s="66"/>
      <c r="IKW254" s="66"/>
      <c r="IKX254" s="66"/>
      <c r="IKY254" s="66"/>
      <c r="IKZ254" s="66"/>
      <c r="ILA254" s="66"/>
      <c r="ILB254" s="66"/>
      <c r="ILC254" s="66"/>
      <c r="ILD254" s="66"/>
      <c r="ILE254" s="66"/>
      <c r="ILF254" s="66"/>
      <c r="ILG254" s="66"/>
      <c r="ILH254" s="66"/>
      <c r="ILI254" s="66"/>
      <c r="ILJ254" s="66"/>
      <c r="ILK254" s="66"/>
      <c r="ILL254" s="66"/>
      <c r="ILM254" s="66"/>
      <c r="ILN254" s="66"/>
      <c r="ILO254" s="66"/>
      <c r="ILP254" s="66"/>
      <c r="ILQ254" s="66"/>
      <c r="ILR254" s="66"/>
      <c r="ILS254" s="66"/>
      <c r="ILT254" s="66"/>
      <c r="ILU254" s="66"/>
      <c r="ILV254" s="66"/>
      <c r="ILW254" s="66"/>
      <c r="ILX254" s="66"/>
      <c r="ILY254" s="66"/>
      <c r="ILZ254" s="66"/>
      <c r="IMA254" s="66"/>
      <c r="IMB254" s="66"/>
      <c r="IMC254" s="66"/>
      <c r="IMD254" s="66"/>
      <c r="IME254" s="66"/>
      <c r="IMF254" s="66"/>
      <c r="IMG254" s="66"/>
      <c r="IMH254" s="66"/>
      <c r="IMI254" s="66"/>
      <c r="IMJ254" s="66"/>
      <c r="IMK254" s="66"/>
      <c r="IML254" s="66"/>
      <c r="IMM254" s="66"/>
      <c r="IMN254" s="66"/>
      <c r="IMO254" s="66"/>
      <c r="IMP254" s="66"/>
      <c r="IMQ254" s="66"/>
      <c r="IMR254" s="66"/>
      <c r="IMS254" s="66"/>
      <c r="IMT254" s="66"/>
      <c r="IMU254" s="66"/>
      <c r="IMV254" s="66"/>
      <c r="IMW254" s="66"/>
      <c r="IMX254" s="66"/>
      <c r="IMY254" s="66"/>
      <c r="IMZ254" s="66"/>
      <c r="INA254" s="66"/>
      <c r="INB254" s="66"/>
      <c r="INC254" s="66"/>
      <c r="IND254" s="66"/>
      <c r="INE254" s="66"/>
      <c r="INF254" s="66"/>
      <c r="ING254" s="66"/>
      <c r="INH254" s="66"/>
      <c r="INI254" s="66"/>
      <c r="INJ254" s="66"/>
      <c r="INK254" s="66"/>
      <c r="INL254" s="66"/>
      <c r="INM254" s="66"/>
      <c r="INN254" s="66"/>
      <c r="INO254" s="66"/>
      <c r="INP254" s="66"/>
      <c r="INQ254" s="66"/>
      <c r="INR254" s="66"/>
      <c r="INS254" s="66"/>
      <c r="INT254" s="66"/>
      <c r="INU254" s="66"/>
      <c r="INV254" s="66"/>
      <c r="INW254" s="66"/>
      <c r="INX254" s="66"/>
      <c r="INY254" s="66"/>
      <c r="INZ254" s="66"/>
      <c r="IOA254" s="66"/>
      <c r="IOB254" s="66"/>
      <c r="IOC254" s="66"/>
      <c r="IOD254" s="66"/>
      <c r="IOE254" s="66"/>
      <c r="IOF254" s="66"/>
      <c r="IOG254" s="66"/>
      <c r="IOH254" s="66"/>
      <c r="IOI254" s="66"/>
      <c r="IOJ254" s="66"/>
      <c r="IOK254" s="66"/>
      <c r="IOL254" s="66"/>
      <c r="IOM254" s="66"/>
      <c r="ION254" s="66"/>
      <c r="IOO254" s="66"/>
      <c r="IOP254" s="66"/>
      <c r="IOQ254" s="66"/>
      <c r="IOR254" s="66"/>
      <c r="IOS254" s="66"/>
      <c r="IOT254" s="66"/>
      <c r="IOU254" s="66"/>
      <c r="IOV254" s="66"/>
      <c r="IOW254" s="66"/>
      <c r="IOX254" s="66"/>
      <c r="IOY254" s="66"/>
      <c r="IOZ254" s="66"/>
      <c r="IPA254" s="66"/>
      <c r="IPB254" s="66"/>
      <c r="IPC254" s="66"/>
      <c r="IPD254" s="66"/>
      <c r="IPE254" s="66"/>
      <c r="IPF254" s="66"/>
      <c r="IPG254" s="66"/>
      <c r="IPH254" s="66"/>
      <c r="IPI254" s="66"/>
      <c r="IPJ254" s="66"/>
      <c r="IPK254" s="66"/>
      <c r="IPL254" s="66"/>
      <c r="IPM254" s="66"/>
      <c r="IPN254" s="66"/>
      <c r="IPO254" s="66"/>
      <c r="IPP254" s="66"/>
      <c r="IPQ254" s="66"/>
      <c r="IPR254" s="66"/>
      <c r="IPS254" s="66"/>
      <c r="IPT254" s="66"/>
      <c r="IPU254" s="66"/>
      <c r="IPV254" s="66"/>
      <c r="IPW254" s="66"/>
      <c r="IPX254" s="66"/>
      <c r="IPY254" s="66"/>
      <c r="IPZ254" s="66"/>
      <c r="IQA254" s="66"/>
      <c r="IQB254" s="66"/>
      <c r="IQC254" s="66"/>
      <c r="IQD254" s="66"/>
      <c r="IQE254" s="66"/>
      <c r="IQF254" s="66"/>
      <c r="IQG254" s="66"/>
      <c r="IQH254" s="66"/>
      <c r="IQI254" s="66"/>
      <c r="IQJ254" s="66"/>
      <c r="IQK254" s="66"/>
      <c r="IQL254" s="66"/>
      <c r="IQM254" s="66"/>
      <c r="IQN254" s="66"/>
      <c r="IQO254" s="66"/>
      <c r="IQP254" s="66"/>
      <c r="IQQ254" s="66"/>
      <c r="IQR254" s="66"/>
      <c r="IQS254" s="66"/>
      <c r="IQT254" s="66"/>
      <c r="IQU254" s="66"/>
      <c r="IQV254" s="66"/>
      <c r="IQW254" s="66"/>
      <c r="IQX254" s="66"/>
      <c r="IQY254" s="66"/>
      <c r="IQZ254" s="66"/>
      <c r="IRA254" s="66"/>
      <c r="IRB254" s="66"/>
      <c r="IRC254" s="66"/>
      <c r="IRD254" s="66"/>
      <c r="IRE254" s="66"/>
      <c r="IRF254" s="66"/>
      <c r="IRG254" s="66"/>
      <c r="IRH254" s="66"/>
      <c r="IRI254" s="66"/>
      <c r="IRJ254" s="66"/>
      <c r="IRK254" s="66"/>
      <c r="IRL254" s="66"/>
      <c r="IRM254" s="66"/>
      <c r="IRN254" s="66"/>
      <c r="IRO254" s="66"/>
      <c r="IRP254" s="66"/>
      <c r="IRQ254" s="66"/>
      <c r="IRR254" s="66"/>
      <c r="IRS254" s="66"/>
      <c r="IRT254" s="66"/>
      <c r="IRU254" s="66"/>
      <c r="IRV254" s="66"/>
      <c r="IRW254" s="66"/>
      <c r="IRX254" s="66"/>
      <c r="IRY254" s="66"/>
      <c r="IRZ254" s="66"/>
      <c r="ISA254" s="66"/>
      <c r="ISB254" s="66"/>
      <c r="ISC254" s="66"/>
      <c r="ISD254" s="66"/>
      <c r="ISE254" s="66"/>
      <c r="ISF254" s="66"/>
      <c r="ISG254" s="66"/>
      <c r="ISH254" s="66"/>
      <c r="ISI254" s="66"/>
      <c r="ISJ254" s="66"/>
      <c r="ISK254" s="66"/>
      <c r="ISL254" s="66"/>
      <c r="ISM254" s="66"/>
      <c r="ISN254" s="66"/>
      <c r="ISO254" s="66"/>
      <c r="ISP254" s="66"/>
      <c r="ISQ254" s="66"/>
      <c r="ISR254" s="66"/>
      <c r="ISS254" s="66"/>
      <c r="IST254" s="66"/>
      <c r="ISU254" s="66"/>
      <c r="ISV254" s="66"/>
      <c r="ISW254" s="66"/>
      <c r="ISX254" s="66"/>
      <c r="ISY254" s="66"/>
      <c r="ISZ254" s="66"/>
      <c r="ITA254" s="66"/>
      <c r="ITB254" s="66"/>
      <c r="ITC254" s="66"/>
      <c r="ITD254" s="66"/>
      <c r="ITE254" s="66"/>
      <c r="ITF254" s="66"/>
      <c r="ITG254" s="66"/>
      <c r="ITH254" s="66"/>
      <c r="ITI254" s="66"/>
      <c r="ITJ254" s="66"/>
      <c r="ITK254" s="66"/>
      <c r="ITL254" s="66"/>
      <c r="ITM254" s="66"/>
      <c r="ITN254" s="66"/>
      <c r="ITO254" s="66"/>
      <c r="ITP254" s="66"/>
      <c r="ITQ254" s="66"/>
      <c r="ITR254" s="66"/>
      <c r="ITS254" s="66"/>
      <c r="ITT254" s="66"/>
      <c r="ITU254" s="66"/>
      <c r="ITV254" s="66"/>
      <c r="ITW254" s="66"/>
      <c r="ITX254" s="66"/>
      <c r="ITY254" s="66"/>
      <c r="ITZ254" s="66"/>
      <c r="IUA254" s="66"/>
      <c r="IUB254" s="66"/>
      <c r="IUC254" s="66"/>
      <c r="IUD254" s="66"/>
      <c r="IUE254" s="66"/>
      <c r="IUF254" s="66"/>
      <c r="IUG254" s="66"/>
      <c r="IUH254" s="66"/>
      <c r="IUI254" s="66"/>
      <c r="IUJ254" s="66"/>
      <c r="IUK254" s="66"/>
      <c r="IUL254" s="66"/>
      <c r="IUM254" s="66"/>
      <c r="IUN254" s="66"/>
      <c r="IUO254" s="66"/>
      <c r="IUP254" s="66"/>
      <c r="IUQ254" s="66"/>
      <c r="IUR254" s="66"/>
      <c r="IUS254" s="66"/>
      <c r="IUT254" s="66"/>
      <c r="IUU254" s="66"/>
      <c r="IUV254" s="66"/>
      <c r="IUW254" s="66"/>
      <c r="IUX254" s="66"/>
      <c r="IUY254" s="66"/>
      <c r="IUZ254" s="66"/>
      <c r="IVA254" s="66"/>
      <c r="IVB254" s="66"/>
      <c r="IVC254" s="66"/>
      <c r="IVD254" s="66"/>
      <c r="IVE254" s="66"/>
      <c r="IVF254" s="66"/>
      <c r="IVG254" s="66"/>
      <c r="IVH254" s="66"/>
      <c r="IVI254" s="66"/>
      <c r="IVJ254" s="66"/>
      <c r="IVK254" s="66"/>
      <c r="IVL254" s="66"/>
      <c r="IVM254" s="66"/>
      <c r="IVN254" s="66"/>
      <c r="IVO254" s="66"/>
      <c r="IVP254" s="66"/>
      <c r="IVQ254" s="66"/>
      <c r="IVR254" s="66"/>
      <c r="IVS254" s="66"/>
      <c r="IVT254" s="66"/>
      <c r="IVU254" s="66"/>
      <c r="IVV254" s="66"/>
      <c r="IVW254" s="66"/>
      <c r="IVX254" s="66"/>
      <c r="IVY254" s="66"/>
      <c r="IVZ254" s="66"/>
      <c r="IWA254" s="66"/>
      <c r="IWB254" s="66"/>
      <c r="IWC254" s="66"/>
      <c r="IWD254" s="66"/>
      <c r="IWE254" s="66"/>
      <c r="IWF254" s="66"/>
      <c r="IWG254" s="66"/>
      <c r="IWH254" s="66"/>
      <c r="IWI254" s="66"/>
      <c r="IWJ254" s="66"/>
      <c r="IWK254" s="66"/>
      <c r="IWL254" s="66"/>
      <c r="IWM254" s="66"/>
      <c r="IWN254" s="66"/>
      <c r="IWO254" s="66"/>
      <c r="IWP254" s="66"/>
      <c r="IWQ254" s="66"/>
      <c r="IWR254" s="66"/>
      <c r="IWS254" s="66"/>
      <c r="IWT254" s="66"/>
      <c r="IWU254" s="66"/>
      <c r="IWV254" s="66"/>
      <c r="IWW254" s="66"/>
      <c r="IWX254" s="66"/>
      <c r="IWY254" s="66"/>
      <c r="IWZ254" s="66"/>
      <c r="IXA254" s="66"/>
      <c r="IXB254" s="66"/>
      <c r="IXC254" s="66"/>
      <c r="IXD254" s="66"/>
      <c r="IXE254" s="66"/>
      <c r="IXF254" s="66"/>
      <c r="IXG254" s="66"/>
      <c r="IXH254" s="66"/>
      <c r="IXI254" s="66"/>
      <c r="IXJ254" s="66"/>
      <c r="IXK254" s="66"/>
      <c r="IXL254" s="66"/>
      <c r="IXM254" s="66"/>
      <c r="IXN254" s="66"/>
      <c r="IXO254" s="66"/>
      <c r="IXP254" s="66"/>
      <c r="IXQ254" s="66"/>
      <c r="IXR254" s="66"/>
      <c r="IXS254" s="66"/>
      <c r="IXT254" s="66"/>
      <c r="IXU254" s="66"/>
      <c r="IXV254" s="66"/>
      <c r="IXW254" s="66"/>
      <c r="IXX254" s="66"/>
      <c r="IXY254" s="66"/>
      <c r="IXZ254" s="66"/>
      <c r="IYA254" s="66"/>
      <c r="IYB254" s="66"/>
      <c r="IYC254" s="66"/>
      <c r="IYD254" s="66"/>
      <c r="IYE254" s="66"/>
      <c r="IYF254" s="66"/>
      <c r="IYG254" s="66"/>
      <c r="IYH254" s="66"/>
      <c r="IYI254" s="66"/>
      <c r="IYJ254" s="66"/>
      <c r="IYK254" s="66"/>
      <c r="IYL254" s="66"/>
      <c r="IYM254" s="66"/>
      <c r="IYN254" s="66"/>
      <c r="IYO254" s="66"/>
      <c r="IYP254" s="66"/>
      <c r="IYQ254" s="66"/>
      <c r="IYR254" s="66"/>
      <c r="IYS254" s="66"/>
      <c r="IYT254" s="66"/>
      <c r="IYU254" s="66"/>
      <c r="IYV254" s="66"/>
      <c r="IYW254" s="66"/>
      <c r="IYX254" s="66"/>
      <c r="IYY254" s="66"/>
      <c r="IYZ254" s="66"/>
      <c r="IZA254" s="66"/>
      <c r="IZB254" s="66"/>
      <c r="IZC254" s="66"/>
      <c r="IZD254" s="66"/>
      <c r="IZE254" s="66"/>
      <c r="IZF254" s="66"/>
      <c r="IZG254" s="66"/>
      <c r="IZH254" s="66"/>
      <c r="IZI254" s="66"/>
      <c r="IZJ254" s="66"/>
      <c r="IZK254" s="66"/>
      <c r="IZL254" s="66"/>
      <c r="IZM254" s="66"/>
      <c r="IZN254" s="66"/>
      <c r="IZO254" s="66"/>
      <c r="IZP254" s="66"/>
      <c r="IZQ254" s="66"/>
      <c r="IZR254" s="66"/>
      <c r="IZS254" s="66"/>
      <c r="IZT254" s="66"/>
      <c r="IZU254" s="66"/>
      <c r="IZV254" s="66"/>
      <c r="IZW254" s="66"/>
      <c r="IZX254" s="66"/>
      <c r="IZY254" s="66"/>
      <c r="IZZ254" s="66"/>
      <c r="JAA254" s="66"/>
      <c r="JAB254" s="66"/>
      <c r="JAC254" s="66"/>
      <c r="JAD254" s="66"/>
      <c r="JAE254" s="66"/>
      <c r="JAF254" s="66"/>
      <c r="JAG254" s="66"/>
      <c r="JAH254" s="66"/>
      <c r="JAI254" s="66"/>
      <c r="JAJ254" s="66"/>
      <c r="JAK254" s="66"/>
      <c r="JAL254" s="66"/>
      <c r="JAM254" s="66"/>
      <c r="JAN254" s="66"/>
      <c r="JAO254" s="66"/>
      <c r="JAP254" s="66"/>
      <c r="JAQ254" s="66"/>
      <c r="JAR254" s="66"/>
      <c r="JAS254" s="66"/>
      <c r="JAT254" s="66"/>
      <c r="JAU254" s="66"/>
      <c r="JAV254" s="66"/>
      <c r="JAW254" s="66"/>
      <c r="JAX254" s="66"/>
      <c r="JAY254" s="66"/>
      <c r="JAZ254" s="66"/>
      <c r="JBA254" s="66"/>
      <c r="JBB254" s="66"/>
      <c r="JBC254" s="66"/>
      <c r="JBD254" s="66"/>
      <c r="JBE254" s="66"/>
      <c r="JBF254" s="66"/>
      <c r="JBG254" s="66"/>
      <c r="JBH254" s="66"/>
      <c r="JBI254" s="66"/>
      <c r="JBJ254" s="66"/>
      <c r="JBK254" s="66"/>
      <c r="JBL254" s="66"/>
      <c r="JBM254" s="66"/>
      <c r="JBN254" s="66"/>
      <c r="JBO254" s="66"/>
      <c r="JBP254" s="66"/>
      <c r="JBQ254" s="66"/>
      <c r="JBR254" s="66"/>
      <c r="JBS254" s="66"/>
      <c r="JBT254" s="66"/>
      <c r="JBU254" s="66"/>
      <c r="JBV254" s="66"/>
      <c r="JBW254" s="66"/>
      <c r="JBX254" s="66"/>
      <c r="JBY254" s="66"/>
      <c r="JBZ254" s="66"/>
      <c r="JCA254" s="66"/>
      <c r="JCB254" s="66"/>
      <c r="JCC254" s="66"/>
      <c r="JCD254" s="66"/>
      <c r="JCE254" s="66"/>
      <c r="JCF254" s="66"/>
      <c r="JCG254" s="66"/>
      <c r="JCH254" s="66"/>
      <c r="JCI254" s="66"/>
      <c r="JCJ254" s="66"/>
      <c r="JCK254" s="66"/>
      <c r="JCL254" s="66"/>
      <c r="JCM254" s="66"/>
      <c r="JCN254" s="66"/>
      <c r="JCO254" s="66"/>
      <c r="JCP254" s="66"/>
      <c r="JCQ254" s="66"/>
      <c r="JCR254" s="66"/>
      <c r="JCS254" s="66"/>
      <c r="JCT254" s="66"/>
      <c r="JCU254" s="66"/>
      <c r="JCV254" s="66"/>
      <c r="JCW254" s="66"/>
      <c r="JCX254" s="66"/>
      <c r="JCY254" s="66"/>
      <c r="JCZ254" s="66"/>
      <c r="JDA254" s="66"/>
      <c r="JDB254" s="66"/>
      <c r="JDC254" s="66"/>
      <c r="JDD254" s="66"/>
      <c r="JDE254" s="66"/>
      <c r="JDF254" s="66"/>
      <c r="JDG254" s="66"/>
      <c r="JDH254" s="66"/>
      <c r="JDI254" s="66"/>
      <c r="JDJ254" s="66"/>
      <c r="JDK254" s="66"/>
      <c r="JDL254" s="66"/>
      <c r="JDM254" s="66"/>
      <c r="JDN254" s="66"/>
      <c r="JDO254" s="66"/>
      <c r="JDP254" s="66"/>
      <c r="JDQ254" s="66"/>
      <c r="JDR254" s="66"/>
      <c r="JDS254" s="66"/>
      <c r="JDT254" s="66"/>
      <c r="JDU254" s="66"/>
      <c r="JDV254" s="66"/>
      <c r="JDW254" s="66"/>
      <c r="JDX254" s="66"/>
      <c r="JDY254" s="66"/>
      <c r="JDZ254" s="66"/>
      <c r="JEA254" s="66"/>
      <c r="JEB254" s="66"/>
      <c r="JEC254" s="66"/>
      <c r="JED254" s="66"/>
      <c r="JEE254" s="66"/>
      <c r="JEF254" s="66"/>
      <c r="JEG254" s="66"/>
      <c r="JEH254" s="66"/>
      <c r="JEI254" s="66"/>
      <c r="JEJ254" s="66"/>
      <c r="JEK254" s="66"/>
      <c r="JEL254" s="66"/>
      <c r="JEM254" s="66"/>
      <c r="JEN254" s="66"/>
      <c r="JEO254" s="66"/>
      <c r="JEP254" s="66"/>
      <c r="JEQ254" s="66"/>
      <c r="JER254" s="66"/>
      <c r="JES254" s="66"/>
      <c r="JET254" s="66"/>
      <c r="JEU254" s="66"/>
      <c r="JEV254" s="66"/>
      <c r="JEW254" s="66"/>
      <c r="JEX254" s="66"/>
      <c r="JEY254" s="66"/>
      <c r="JEZ254" s="66"/>
      <c r="JFA254" s="66"/>
      <c r="JFB254" s="66"/>
      <c r="JFC254" s="66"/>
      <c r="JFD254" s="66"/>
      <c r="JFE254" s="66"/>
      <c r="JFF254" s="66"/>
      <c r="JFG254" s="66"/>
      <c r="JFH254" s="66"/>
      <c r="JFI254" s="66"/>
      <c r="JFJ254" s="66"/>
      <c r="JFK254" s="66"/>
      <c r="JFL254" s="66"/>
      <c r="JFM254" s="66"/>
      <c r="JFN254" s="66"/>
      <c r="JFO254" s="66"/>
      <c r="JFP254" s="66"/>
      <c r="JFQ254" s="66"/>
      <c r="JFR254" s="66"/>
      <c r="JFS254" s="66"/>
      <c r="JFT254" s="66"/>
      <c r="JFU254" s="66"/>
      <c r="JFV254" s="66"/>
      <c r="JFW254" s="66"/>
      <c r="JFX254" s="66"/>
      <c r="JFY254" s="66"/>
      <c r="JFZ254" s="66"/>
      <c r="JGA254" s="66"/>
      <c r="JGB254" s="66"/>
      <c r="JGC254" s="66"/>
      <c r="JGD254" s="66"/>
      <c r="JGE254" s="66"/>
      <c r="JGF254" s="66"/>
      <c r="JGG254" s="66"/>
      <c r="JGH254" s="66"/>
      <c r="JGI254" s="66"/>
      <c r="JGJ254" s="66"/>
      <c r="JGK254" s="66"/>
      <c r="JGL254" s="66"/>
      <c r="JGM254" s="66"/>
      <c r="JGN254" s="66"/>
      <c r="JGO254" s="66"/>
      <c r="JGP254" s="66"/>
      <c r="JGQ254" s="66"/>
      <c r="JGR254" s="66"/>
      <c r="JGS254" s="66"/>
      <c r="JGT254" s="66"/>
      <c r="JGU254" s="66"/>
      <c r="JGV254" s="66"/>
      <c r="JGW254" s="66"/>
      <c r="JGX254" s="66"/>
      <c r="JGY254" s="66"/>
      <c r="JGZ254" s="66"/>
      <c r="JHA254" s="66"/>
      <c r="JHB254" s="66"/>
      <c r="JHC254" s="66"/>
      <c r="JHD254" s="66"/>
      <c r="JHE254" s="66"/>
      <c r="JHF254" s="66"/>
      <c r="JHG254" s="66"/>
      <c r="JHH254" s="66"/>
      <c r="JHI254" s="66"/>
      <c r="JHJ254" s="66"/>
      <c r="JHK254" s="66"/>
      <c r="JHL254" s="66"/>
      <c r="JHM254" s="66"/>
      <c r="JHN254" s="66"/>
      <c r="JHO254" s="66"/>
      <c r="JHP254" s="66"/>
      <c r="JHQ254" s="66"/>
      <c r="JHR254" s="66"/>
      <c r="JHS254" s="66"/>
      <c r="JHT254" s="66"/>
      <c r="JHU254" s="66"/>
      <c r="JHV254" s="66"/>
      <c r="JHW254" s="66"/>
      <c r="JHX254" s="66"/>
      <c r="JHY254" s="66"/>
      <c r="JHZ254" s="66"/>
      <c r="JIA254" s="66"/>
      <c r="JIB254" s="66"/>
      <c r="JIC254" s="66"/>
      <c r="JID254" s="66"/>
      <c r="JIE254" s="66"/>
      <c r="JIF254" s="66"/>
      <c r="JIG254" s="66"/>
      <c r="JIH254" s="66"/>
      <c r="JII254" s="66"/>
      <c r="JIJ254" s="66"/>
      <c r="JIK254" s="66"/>
      <c r="JIL254" s="66"/>
      <c r="JIM254" s="66"/>
      <c r="JIN254" s="66"/>
      <c r="JIO254" s="66"/>
      <c r="JIP254" s="66"/>
      <c r="JIQ254" s="66"/>
      <c r="JIR254" s="66"/>
      <c r="JIS254" s="66"/>
      <c r="JIT254" s="66"/>
      <c r="JIU254" s="66"/>
      <c r="JIV254" s="66"/>
      <c r="JIW254" s="66"/>
      <c r="JIX254" s="66"/>
      <c r="JIY254" s="66"/>
      <c r="JIZ254" s="66"/>
      <c r="JJA254" s="66"/>
      <c r="JJB254" s="66"/>
      <c r="JJC254" s="66"/>
      <c r="JJD254" s="66"/>
      <c r="JJE254" s="66"/>
      <c r="JJF254" s="66"/>
      <c r="JJG254" s="66"/>
      <c r="JJH254" s="66"/>
      <c r="JJI254" s="66"/>
      <c r="JJJ254" s="66"/>
      <c r="JJK254" s="66"/>
      <c r="JJL254" s="66"/>
      <c r="JJM254" s="66"/>
      <c r="JJN254" s="66"/>
      <c r="JJO254" s="66"/>
      <c r="JJP254" s="66"/>
      <c r="JJQ254" s="66"/>
      <c r="JJR254" s="66"/>
      <c r="JJS254" s="66"/>
      <c r="JJT254" s="66"/>
      <c r="JJU254" s="66"/>
      <c r="JJV254" s="66"/>
      <c r="JJW254" s="66"/>
      <c r="JJX254" s="66"/>
      <c r="JJY254" s="66"/>
      <c r="JJZ254" s="66"/>
      <c r="JKA254" s="66"/>
      <c r="JKB254" s="66"/>
      <c r="JKC254" s="66"/>
      <c r="JKD254" s="66"/>
      <c r="JKE254" s="66"/>
      <c r="JKF254" s="66"/>
      <c r="JKG254" s="66"/>
      <c r="JKH254" s="66"/>
      <c r="JKI254" s="66"/>
      <c r="JKJ254" s="66"/>
      <c r="JKK254" s="66"/>
      <c r="JKL254" s="66"/>
      <c r="JKM254" s="66"/>
      <c r="JKN254" s="66"/>
      <c r="JKO254" s="66"/>
      <c r="JKP254" s="66"/>
      <c r="JKQ254" s="66"/>
      <c r="JKR254" s="66"/>
      <c r="JKS254" s="66"/>
      <c r="JKT254" s="66"/>
      <c r="JKU254" s="66"/>
      <c r="JKV254" s="66"/>
      <c r="JKW254" s="66"/>
      <c r="JKX254" s="66"/>
      <c r="JKY254" s="66"/>
      <c r="JKZ254" s="66"/>
      <c r="JLA254" s="66"/>
      <c r="JLB254" s="66"/>
      <c r="JLC254" s="66"/>
      <c r="JLD254" s="66"/>
      <c r="JLE254" s="66"/>
      <c r="JLF254" s="66"/>
      <c r="JLG254" s="66"/>
      <c r="JLH254" s="66"/>
      <c r="JLI254" s="66"/>
      <c r="JLJ254" s="66"/>
      <c r="JLK254" s="66"/>
      <c r="JLL254" s="66"/>
      <c r="JLM254" s="66"/>
      <c r="JLN254" s="66"/>
      <c r="JLO254" s="66"/>
      <c r="JLP254" s="66"/>
      <c r="JLQ254" s="66"/>
      <c r="JLR254" s="66"/>
      <c r="JLS254" s="66"/>
      <c r="JLT254" s="66"/>
      <c r="JLU254" s="66"/>
      <c r="JLV254" s="66"/>
      <c r="JLW254" s="66"/>
      <c r="JLX254" s="66"/>
      <c r="JLY254" s="66"/>
      <c r="JLZ254" s="66"/>
      <c r="JMA254" s="66"/>
      <c r="JMB254" s="66"/>
      <c r="JMC254" s="66"/>
      <c r="JMD254" s="66"/>
      <c r="JME254" s="66"/>
      <c r="JMF254" s="66"/>
      <c r="JMG254" s="66"/>
      <c r="JMH254" s="66"/>
      <c r="JMI254" s="66"/>
      <c r="JMJ254" s="66"/>
      <c r="JMK254" s="66"/>
      <c r="JML254" s="66"/>
      <c r="JMM254" s="66"/>
      <c r="JMN254" s="66"/>
      <c r="JMO254" s="66"/>
      <c r="JMP254" s="66"/>
      <c r="JMQ254" s="66"/>
      <c r="JMR254" s="66"/>
      <c r="JMS254" s="66"/>
      <c r="JMT254" s="66"/>
      <c r="JMU254" s="66"/>
      <c r="JMV254" s="66"/>
      <c r="JMW254" s="66"/>
      <c r="JMX254" s="66"/>
      <c r="JMY254" s="66"/>
      <c r="JMZ254" s="66"/>
      <c r="JNA254" s="66"/>
      <c r="JNB254" s="66"/>
      <c r="JNC254" s="66"/>
      <c r="JND254" s="66"/>
      <c r="JNE254" s="66"/>
      <c r="JNF254" s="66"/>
      <c r="JNG254" s="66"/>
      <c r="JNH254" s="66"/>
      <c r="JNI254" s="66"/>
      <c r="JNJ254" s="66"/>
      <c r="JNK254" s="66"/>
      <c r="JNL254" s="66"/>
      <c r="JNM254" s="66"/>
      <c r="JNN254" s="66"/>
      <c r="JNO254" s="66"/>
      <c r="JNP254" s="66"/>
      <c r="JNQ254" s="66"/>
      <c r="JNR254" s="66"/>
      <c r="JNS254" s="66"/>
      <c r="JNT254" s="66"/>
      <c r="JNU254" s="66"/>
      <c r="JNV254" s="66"/>
      <c r="JNW254" s="66"/>
      <c r="JNX254" s="66"/>
      <c r="JNY254" s="66"/>
      <c r="JNZ254" s="66"/>
      <c r="JOA254" s="66"/>
      <c r="JOB254" s="66"/>
      <c r="JOC254" s="66"/>
      <c r="JOD254" s="66"/>
      <c r="JOE254" s="66"/>
      <c r="JOF254" s="66"/>
      <c r="JOG254" s="66"/>
      <c r="JOH254" s="66"/>
      <c r="JOI254" s="66"/>
      <c r="JOJ254" s="66"/>
      <c r="JOK254" s="66"/>
      <c r="JOL254" s="66"/>
      <c r="JOM254" s="66"/>
      <c r="JON254" s="66"/>
      <c r="JOO254" s="66"/>
      <c r="JOP254" s="66"/>
      <c r="JOQ254" s="66"/>
      <c r="JOR254" s="66"/>
      <c r="JOS254" s="66"/>
      <c r="JOT254" s="66"/>
      <c r="JOU254" s="66"/>
      <c r="JOV254" s="66"/>
      <c r="JOW254" s="66"/>
      <c r="JOX254" s="66"/>
      <c r="JOY254" s="66"/>
      <c r="JOZ254" s="66"/>
      <c r="JPA254" s="66"/>
      <c r="JPB254" s="66"/>
      <c r="JPC254" s="66"/>
      <c r="JPD254" s="66"/>
      <c r="JPE254" s="66"/>
      <c r="JPF254" s="66"/>
      <c r="JPG254" s="66"/>
      <c r="JPH254" s="66"/>
      <c r="JPI254" s="66"/>
      <c r="JPJ254" s="66"/>
      <c r="JPK254" s="66"/>
      <c r="JPL254" s="66"/>
      <c r="JPM254" s="66"/>
      <c r="JPN254" s="66"/>
      <c r="JPO254" s="66"/>
      <c r="JPP254" s="66"/>
      <c r="JPQ254" s="66"/>
      <c r="JPR254" s="66"/>
      <c r="JPS254" s="66"/>
      <c r="JPT254" s="66"/>
      <c r="JPU254" s="66"/>
      <c r="JPV254" s="66"/>
      <c r="JPW254" s="66"/>
      <c r="JPX254" s="66"/>
      <c r="JPY254" s="66"/>
      <c r="JPZ254" s="66"/>
      <c r="JQA254" s="66"/>
      <c r="JQB254" s="66"/>
      <c r="JQC254" s="66"/>
      <c r="JQD254" s="66"/>
      <c r="JQE254" s="66"/>
      <c r="JQF254" s="66"/>
      <c r="JQG254" s="66"/>
      <c r="JQH254" s="66"/>
      <c r="JQI254" s="66"/>
      <c r="JQJ254" s="66"/>
      <c r="JQK254" s="66"/>
      <c r="JQL254" s="66"/>
      <c r="JQM254" s="66"/>
      <c r="JQN254" s="66"/>
      <c r="JQO254" s="66"/>
      <c r="JQP254" s="66"/>
      <c r="JQQ254" s="66"/>
      <c r="JQR254" s="66"/>
      <c r="JQS254" s="66"/>
      <c r="JQT254" s="66"/>
      <c r="JQU254" s="66"/>
      <c r="JQV254" s="66"/>
      <c r="JQW254" s="66"/>
      <c r="JQX254" s="66"/>
      <c r="JQY254" s="66"/>
      <c r="JQZ254" s="66"/>
      <c r="JRA254" s="66"/>
      <c r="JRB254" s="66"/>
      <c r="JRC254" s="66"/>
      <c r="JRD254" s="66"/>
      <c r="JRE254" s="66"/>
      <c r="JRF254" s="66"/>
      <c r="JRG254" s="66"/>
      <c r="JRH254" s="66"/>
      <c r="JRI254" s="66"/>
      <c r="JRJ254" s="66"/>
      <c r="JRK254" s="66"/>
      <c r="JRL254" s="66"/>
      <c r="JRM254" s="66"/>
      <c r="JRN254" s="66"/>
      <c r="JRO254" s="66"/>
      <c r="JRP254" s="66"/>
      <c r="JRQ254" s="66"/>
      <c r="JRR254" s="66"/>
      <c r="JRS254" s="66"/>
      <c r="JRT254" s="66"/>
      <c r="JRU254" s="66"/>
      <c r="JRV254" s="66"/>
      <c r="JRW254" s="66"/>
      <c r="JRX254" s="66"/>
      <c r="JRY254" s="66"/>
      <c r="JRZ254" s="66"/>
      <c r="JSA254" s="66"/>
      <c r="JSB254" s="66"/>
      <c r="JSC254" s="66"/>
      <c r="JSD254" s="66"/>
      <c r="JSE254" s="66"/>
      <c r="JSF254" s="66"/>
      <c r="JSG254" s="66"/>
      <c r="JSH254" s="66"/>
      <c r="JSI254" s="66"/>
      <c r="JSJ254" s="66"/>
      <c r="JSK254" s="66"/>
      <c r="JSL254" s="66"/>
      <c r="JSM254" s="66"/>
      <c r="JSN254" s="66"/>
      <c r="JSO254" s="66"/>
      <c r="JSP254" s="66"/>
      <c r="JSQ254" s="66"/>
      <c r="JSR254" s="66"/>
      <c r="JSS254" s="66"/>
      <c r="JST254" s="66"/>
      <c r="JSU254" s="66"/>
      <c r="JSV254" s="66"/>
      <c r="JSW254" s="66"/>
      <c r="JSX254" s="66"/>
      <c r="JSY254" s="66"/>
      <c r="JSZ254" s="66"/>
      <c r="JTA254" s="66"/>
      <c r="JTB254" s="66"/>
      <c r="JTC254" s="66"/>
      <c r="JTD254" s="66"/>
      <c r="JTE254" s="66"/>
      <c r="JTF254" s="66"/>
      <c r="JTG254" s="66"/>
      <c r="JTH254" s="66"/>
      <c r="JTI254" s="66"/>
      <c r="JTJ254" s="66"/>
      <c r="JTK254" s="66"/>
      <c r="JTL254" s="66"/>
      <c r="JTM254" s="66"/>
      <c r="JTN254" s="66"/>
      <c r="JTO254" s="66"/>
      <c r="JTP254" s="66"/>
      <c r="JTQ254" s="66"/>
      <c r="JTR254" s="66"/>
      <c r="JTS254" s="66"/>
      <c r="JTT254" s="66"/>
      <c r="JTU254" s="66"/>
      <c r="JTV254" s="66"/>
      <c r="JTW254" s="66"/>
      <c r="JTX254" s="66"/>
      <c r="JTY254" s="66"/>
      <c r="JTZ254" s="66"/>
      <c r="JUA254" s="66"/>
      <c r="JUB254" s="66"/>
      <c r="JUC254" s="66"/>
      <c r="JUD254" s="66"/>
      <c r="JUE254" s="66"/>
      <c r="JUF254" s="66"/>
      <c r="JUG254" s="66"/>
      <c r="JUH254" s="66"/>
      <c r="JUI254" s="66"/>
      <c r="JUJ254" s="66"/>
      <c r="JUK254" s="66"/>
      <c r="JUL254" s="66"/>
      <c r="JUM254" s="66"/>
      <c r="JUN254" s="66"/>
      <c r="JUO254" s="66"/>
      <c r="JUP254" s="66"/>
      <c r="JUQ254" s="66"/>
      <c r="JUR254" s="66"/>
      <c r="JUS254" s="66"/>
      <c r="JUT254" s="66"/>
      <c r="JUU254" s="66"/>
      <c r="JUV254" s="66"/>
      <c r="JUW254" s="66"/>
      <c r="JUX254" s="66"/>
      <c r="JUY254" s="66"/>
      <c r="JUZ254" s="66"/>
      <c r="JVA254" s="66"/>
      <c r="JVB254" s="66"/>
      <c r="JVC254" s="66"/>
      <c r="JVD254" s="66"/>
      <c r="JVE254" s="66"/>
      <c r="JVF254" s="66"/>
      <c r="JVG254" s="66"/>
      <c r="JVH254" s="66"/>
      <c r="JVI254" s="66"/>
      <c r="JVJ254" s="66"/>
      <c r="JVK254" s="66"/>
      <c r="JVL254" s="66"/>
      <c r="JVM254" s="66"/>
      <c r="JVN254" s="66"/>
      <c r="JVO254" s="66"/>
      <c r="JVP254" s="66"/>
      <c r="JVQ254" s="66"/>
      <c r="JVR254" s="66"/>
      <c r="JVS254" s="66"/>
      <c r="JVT254" s="66"/>
      <c r="JVU254" s="66"/>
      <c r="JVV254" s="66"/>
      <c r="JVW254" s="66"/>
      <c r="JVX254" s="66"/>
      <c r="JVY254" s="66"/>
      <c r="JVZ254" s="66"/>
      <c r="JWA254" s="66"/>
      <c r="JWB254" s="66"/>
      <c r="JWC254" s="66"/>
      <c r="JWD254" s="66"/>
      <c r="JWE254" s="66"/>
      <c r="JWF254" s="66"/>
      <c r="JWG254" s="66"/>
      <c r="JWH254" s="66"/>
      <c r="JWI254" s="66"/>
      <c r="JWJ254" s="66"/>
      <c r="JWK254" s="66"/>
      <c r="JWL254" s="66"/>
      <c r="JWM254" s="66"/>
      <c r="JWN254" s="66"/>
      <c r="JWO254" s="66"/>
      <c r="JWP254" s="66"/>
      <c r="JWQ254" s="66"/>
      <c r="JWR254" s="66"/>
      <c r="JWS254" s="66"/>
      <c r="JWT254" s="66"/>
      <c r="JWU254" s="66"/>
      <c r="JWV254" s="66"/>
      <c r="JWW254" s="66"/>
      <c r="JWX254" s="66"/>
      <c r="JWY254" s="66"/>
      <c r="JWZ254" s="66"/>
      <c r="JXA254" s="66"/>
      <c r="JXB254" s="66"/>
      <c r="JXC254" s="66"/>
      <c r="JXD254" s="66"/>
      <c r="JXE254" s="66"/>
      <c r="JXF254" s="66"/>
      <c r="JXG254" s="66"/>
      <c r="JXH254" s="66"/>
      <c r="JXI254" s="66"/>
      <c r="JXJ254" s="66"/>
      <c r="JXK254" s="66"/>
      <c r="JXL254" s="66"/>
      <c r="JXM254" s="66"/>
      <c r="JXN254" s="66"/>
      <c r="JXO254" s="66"/>
      <c r="JXP254" s="66"/>
      <c r="JXQ254" s="66"/>
      <c r="JXR254" s="66"/>
      <c r="JXS254" s="66"/>
      <c r="JXT254" s="66"/>
      <c r="JXU254" s="66"/>
      <c r="JXV254" s="66"/>
      <c r="JXW254" s="66"/>
      <c r="JXX254" s="66"/>
      <c r="JXY254" s="66"/>
      <c r="JXZ254" s="66"/>
      <c r="JYA254" s="66"/>
      <c r="JYB254" s="66"/>
      <c r="JYC254" s="66"/>
      <c r="JYD254" s="66"/>
      <c r="JYE254" s="66"/>
      <c r="JYF254" s="66"/>
      <c r="JYG254" s="66"/>
      <c r="JYH254" s="66"/>
      <c r="JYI254" s="66"/>
      <c r="JYJ254" s="66"/>
      <c r="JYK254" s="66"/>
      <c r="JYL254" s="66"/>
      <c r="JYM254" s="66"/>
      <c r="JYN254" s="66"/>
      <c r="JYO254" s="66"/>
      <c r="JYP254" s="66"/>
      <c r="JYQ254" s="66"/>
      <c r="JYR254" s="66"/>
      <c r="JYS254" s="66"/>
      <c r="JYT254" s="66"/>
      <c r="JYU254" s="66"/>
      <c r="JYV254" s="66"/>
      <c r="JYW254" s="66"/>
      <c r="JYX254" s="66"/>
      <c r="JYY254" s="66"/>
      <c r="JYZ254" s="66"/>
      <c r="JZA254" s="66"/>
      <c r="JZB254" s="66"/>
      <c r="JZC254" s="66"/>
      <c r="JZD254" s="66"/>
      <c r="JZE254" s="66"/>
      <c r="JZF254" s="66"/>
      <c r="JZG254" s="66"/>
      <c r="JZH254" s="66"/>
      <c r="JZI254" s="66"/>
      <c r="JZJ254" s="66"/>
      <c r="JZK254" s="66"/>
      <c r="JZL254" s="66"/>
      <c r="JZM254" s="66"/>
      <c r="JZN254" s="66"/>
      <c r="JZO254" s="66"/>
      <c r="JZP254" s="66"/>
      <c r="JZQ254" s="66"/>
      <c r="JZR254" s="66"/>
      <c r="JZS254" s="66"/>
      <c r="JZT254" s="66"/>
      <c r="JZU254" s="66"/>
      <c r="JZV254" s="66"/>
      <c r="JZW254" s="66"/>
      <c r="JZX254" s="66"/>
      <c r="JZY254" s="66"/>
      <c r="JZZ254" s="66"/>
      <c r="KAA254" s="66"/>
      <c r="KAB254" s="66"/>
      <c r="KAC254" s="66"/>
      <c r="KAD254" s="66"/>
      <c r="KAE254" s="66"/>
      <c r="KAF254" s="66"/>
      <c r="KAG254" s="66"/>
      <c r="KAH254" s="66"/>
      <c r="KAI254" s="66"/>
      <c r="KAJ254" s="66"/>
      <c r="KAK254" s="66"/>
      <c r="KAL254" s="66"/>
      <c r="KAM254" s="66"/>
      <c r="KAN254" s="66"/>
      <c r="KAO254" s="66"/>
      <c r="KAP254" s="66"/>
      <c r="KAQ254" s="66"/>
      <c r="KAR254" s="66"/>
      <c r="KAS254" s="66"/>
      <c r="KAT254" s="66"/>
      <c r="KAU254" s="66"/>
      <c r="KAV254" s="66"/>
      <c r="KAW254" s="66"/>
      <c r="KAX254" s="66"/>
      <c r="KAY254" s="66"/>
      <c r="KAZ254" s="66"/>
      <c r="KBA254" s="66"/>
      <c r="KBB254" s="66"/>
      <c r="KBC254" s="66"/>
      <c r="KBD254" s="66"/>
      <c r="KBE254" s="66"/>
      <c r="KBF254" s="66"/>
      <c r="KBG254" s="66"/>
      <c r="KBH254" s="66"/>
      <c r="KBI254" s="66"/>
      <c r="KBJ254" s="66"/>
      <c r="KBK254" s="66"/>
      <c r="KBL254" s="66"/>
      <c r="KBM254" s="66"/>
      <c r="KBN254" s="66"/>
      <c r="KBO254" s="66"/>
      <c r="KBP254" s="66"/>
      <c r="KBQ254" s="66"/>
      <c r="KBR254" s="66"/>
      <c r="KBS254" s="66"/>
      <c r="KBT254" s="66"/>
      <c r="KBU254" s="66"/>
      <c r="KBV254" s="66"/>
      <c r="KBW254" s="66"/>
      <c r="KBX254" s="66"/>
      <c r="KBY254" s="66"/>
      <c r="KBZ254" s="66"/>
      <c r="KCA254" s="66"/>
      <c r="KCB254" s="66"/>
      <c r="KCC254" s="66"/>
      <c r="KCD254" s="66"/>
      <c r="KCE254" s="66"/>
      <c r="KCF254" s="66"/>
      <c r="KCG254" s="66"/>
      <c r="KCH254" s="66"/>
      <c r="KCI254" s="66"/>
      <c r="KCJ254" s="66"/>
      <c r="KCK254" s="66"/>
      <c r="KCL254" s="66"/>
      <c r="KCM254" s="66"/>
      <c r="KCN254" s="66"/>
      <c r="KCO254" s="66"/>
      <c r="KCP254" s="66"/>
      <c r="KCQ254" s="66"/>
      <c r="KCR254" s="66"/>
      <c r="KCS254" s="66"/>
      <c r="KCT254" s="66"/>
      <c r="KCU254" s="66"/>
      <c r="KCV254" s="66"/>
      <c r="KCW254" s="66"/>
      <c r="KCX254" s="66"/>
      <c r="KCY254" s="66"/>
      <c r="KCZ254" s="66"/>
      <c r="KDA254" s="66"/>
      <c r="KDB254" s="66"/>
      <c r="KDC254" s="66"/>
      <c r="KDD254" s="66"/>
      <c r="KDE254" s="66"/>
      <c r="KDF254" s="66"/>
      <c r="KDG254" s="66"/>
      <c r="KDH254" s="66"/>
      <c r="KDI254" s="66"/>
      <c r="KDJ254" s="66"/>
      <c r="KDK254" s="66"/>
      <c r="KDL254" s="66"/>
      <c r="KDM254" s="66"/>
      <c r="KDN254" s="66"/>
      <c r="KDO254" s="66"/>
      <c r="KDP254" s="66"/>
      <c r="KDQ254" s="66"/>
      <c r="KDR254" s="66"/>
      <c r="KDS254" s="66"/>
      <c r="KDT254" s="66"/>
      <c r="KDU254" s="66"/>
      <c r="KDV254" s="66"/>
      <c r="KDW254" s="66"/>
      <c r="KDX254" s="66"/>
      <c r="KDY254" s="66"/>
      <c r="KDZ254" s="66"/>
      <c r="KEA254" s="66"/>
      <c r="KEB254" s="66"/>
      <c r="KEC254" s="66"/>
      <c r="KED254" s="66"/>
      <c r="KEE254" s="66"/>
      <c r="KEF254" s="66"/>
      <c r="KEG254" s="66"/>
      <c r="KEH254" s="66"/>
      <c r="KEI254" s="66"/>
      <c r="KEJ254" s="66"/>
      <c r="KEK254" s="66"/>
      <c r="KEL254" s="66"/>
      <c r="KEM254" s="66"/>
      <c r="KEN254" s="66"/>
      <c r="KEO254" s="66"/>
      <c r="KEP254" s="66"/>
      <c r="KEQ254" s="66"/>
      <c r="KER254" s="66"/>
      <c r="KES254" s="66"/>
      <c r="KET254" s="66"/>
      <c r="KEU254" s="66"/>
      <c r="KEV254" s="66"/>
      <c r="KEW254" s="66"/>
      <c r="KEX254" s="66"/>
      <c r="KEY254" s="66"/>
      <c r="KEZ254" s="66"/>
      <c r="KFA254" s="66"/>
      <c r="KFB254" s="66"/>
      <c r="KFC254" s="66"/>
      <c r="KFD254" s="66"/>
      <c r="KFE254" s="66"/>
      <c r="KFF254" s="66"/>
      <c r="KFG254" s="66"/>
      <c r="KFH254" s="66"/>
      <c r="KFI254" s="66"/>
      <c r="KFJ254" s="66"/>
      <c r="KFK254" s="66"/>
      <c r="KFL254" s="66"/>
      <c r="KFM254" s="66"/>
      <c r="KFN254" s="66"/>
      <c r="KFO254" s="66"/>
      <c r="KFP254" s="66"/>
      <c r="KFQ254" s="66"/>
      <c r="KFR254" s="66"/>
      <c r="KFS254" s="66"/>
      <c r="KFT254" s="66"/>
      <c r="KFU254" s="66"/>
      <c r="KFV254" s="66"/>
      <c r="KFW254" s="66"/>
      <c r="KFX254" s="66"/>
      <c r="KFY254" s="66"/>
      <c r="KFZ254" s="66"/>
      <c r="KGA254" s="66"/>
      <c r="KGB254" s="66"/>
      <c r="KGC254" s="66"/>
      <c r="KGD254" s="66"/>
      <c r="KGE254" s="66"/>
      <c r="KGF254" s="66"/>
      <c r="KGG254" s="66"/>
      <c r="KGH254" s="66"/>
      <c r="KGI254" s="66"/>
      <c r="KGJ254" s="66"/>
      <c r="KGK254" s="66"/>
      <c r="KGL254" s="66"/>
      <c r="KGM254" s="66"/>
      <c r="KGN254" s="66"/>
      <c r="KGO254" s="66"/>
      <c r="KGP254" s="66"/>
      <c r="KGQ254" s="66"/>
      <c r="KGR254" s="66"/>
      <c r="KGS254" s="66"/>
      <c r="KGT254" s="66"/>
      <c r="KGU254" s="66"/>
      <c r="KGV254" s="66"/>
      <c r="KGW254" s="66"/>
      <c r="KGX254" s="66"/>
      <c r="KGY254" s="66"/>
      <c r="KGZ254" s="66"/>
      <c r="KHA254" s="66"/>
      <c r="KHB254" s="66"/>
      <c r="KHC254" s="66"/>
      <c r="KHD254" s="66"/>
      <c r="KHE254" s="66"/>
      <c r="KHF254" s="66"/>
      <c r="KHG254" s="66"/>
      <c r="KHH254" s="66"/>
      <c r="KHI254" s="66"/>
      <c r="KHJ254" s="66"/>
      <c r="KHK254" s="66"/>
      <c r="KHL254" s="66"/>
      <c r="KHM254" s="66"/>
      <c r="KHN254" s="66"/>
      <c r="KHO254" s="66"/>
      <c r="KHP254" s="66"/>
      <c r="KHQ254" s="66"/>
      <c r="KHR254" s="66"/>
      <c r="KHS254" s="66"/>
      <c r="KHT254" s="66"/>
      <c r="KHU254" s="66"/>
      <c r="KHV254" s="66"/>
      <c r="KHW254" s="66"/>
      <c r="KHX254" s="66"/>
      <c r="KHY254" s="66"/>
      <c r="KHZ254" s="66"/>
      <c r="KIA254" s="66"/>
      <c r="KIB254" s="66"/>
      <c r="KIC254" s="66"/>
      <c r="KID254" s="66"/>
      <c r="KIE254" s="66"/>
      <c r="KIF254" s="66"/>
      <c r="KIG254" s="66"/>
      <c r="KIH254" s="66"/>
      <c r="KII254" s="66"/>
      <c r="KIJ254" s="66"/>
      <c r="KIK254" s="66"/>
      <c r="KIL254" s="66"/>
      <c r="KIM254" s="66"/>
      <c r="KIN254" s="66"/>
      <c r="KIO254" s="66"/>
      <c r="KIP254" s="66"/>
      <c r="KIQ254" s="66"/>
      <c r="KIR254" s="66"/>
      <c r="KIS254" s="66"/>
      <c r="KIT254" s="66"/>
      <c r="KIU254" s="66"/>
      <c r="KIV254" s="66"/>
      <c r="KIW254" s="66"/>
      <c r="KIX254" s="66"/>
      <c r="KIY254" s="66"/>
      <c r="KIZ254" s="66"/>
      <c r="KJA254" s="66"/>
      <c r="KJB254" s="66"/>
      <c r="KJC254" s="66"/>
      <c r="KJD254" s="66"/>
      <c r="KJE254" s="66"/>
      <c r="KJF254" s="66"/>
      <c r="KJG254" s="66"/>
      <c r="KJH254" s="66"/>
      <c r="KJI254" s="66"/>
      <c r="KJJ254" s="66"/>
      <c r="KJK254" s="66"/>
      <c r="KJL254" s="66"/>
      <c r="KJM254" s="66"/>
      <c r="KJN254" s="66"/>
      <c r="KJO254" s="66"/>
      <c r="KJP254" s="66"/>
      <c r="KJQ254" s="66"/>
      <c r="KJR254" s="66"/>
      <c r="KJS254" s="66"/>
      <c r="KJT254" s="66"/>
      <c r="KJU254" s="66"/>
      <c r="KJV254" s="66"/>
      <c r="KJW254" s="66"/>
      <c r="KJX254" s="66"/>
      <c r="KJY254" s="66"/>
      <c r="KJZ254" s="66"/>
      <c r="KKA254" s="66"/>
      <c r="KKB254" s="66"/>
      <c r="KKC254" s="66"/>
      <c r="KKD254" s="66"/>
      <c r="KKE254" s="66"/>
      <c r="KKF254" s="66"/>
      <c r="KKG254" s="66"/>
      <c r="KKH254" s="66"/>
      <c r="KKI254" s="66"/>
      <c r="KKJ254" s="66"/>
      <c r="KKK254" s="66"/>
      <c r="KKL254" s="66"/>
      <c r="KKM254" s="66"/>
      <c r="KKN254" s="66"/>
      <c r="KKO254" s="66"/>
      <c r="KKP254" s="66"/>
      <c r="KKQ254" s="66"/>
      <c r="KKR254" s="66"/>
      <c r="KKS254" s="66"/>
      <c r="KKT254" s="66"/>
      <c r="KKU254" s="66"/>
      <c r="KKV254" s="66"/>
      <c r="KKW254" s="66"/>
      <c r="KKX254" s="66"/>
      <c r="KKY254" s="66"/>
      <c r="KKZ254" s="66"/>
      <c r="KLA254" s="66"/>
      <c r="KLB254" s="66"/>
      <c r="KLC254" s="66"/>
      <c r="KLD254" s="66"/>
      <c r="KLE254" s="66"/>
      <c r="KLF254" s="66"/>
      <c r="KLG254" s="66"/>
      <c r="KLH254" s="66"/>
      <c r="KLI254" s="66"/>
      <c r="KLJ254" s="66"/>
      <c r="KLK254" s="66"/>
      <c r="KLL254" s="66"/>
      <c r="KLM254" s="66"/>
      <c r="KLN254" s="66"/>
      <c r="KLO254" s="66"/>
      <c r="KLP254" s="66"/>
      <c r="KLQ254" s="66"/>
      <c r="KLR254" s="66"/>
      <c r="KLS254" s="66"/>
      <c r="KLT254" s="66"/>
      <c r="KLU254" s="66"/>
      <c r="KLV254" s="66"/>
      <c r="KLW254" s="66"/>
      <c r="KLX254" s="66"/>
      <c r="KLY254" s="66"/>
      <c r="KLZ254" s="66"/>
      <c r="KMA254" s="66"/>
      <c r="KMB254" s="66"/>
      <c r="KMC254" s="66"/>
      <c r="KMD254" s="66"/>
      <c r="KME254" s="66"/>
      <c r="KMF254" s="66"/>
      <c r="KMG254" s="66"/>
      <c r="KMH254" s="66"/>
      <c r="KMI254" s="66"/>
      <c r="KMJ254" s="66"/>
      <c r="KMK254" s="66"/>
      <c r="KML254" s="66"/>
      <c r="KMM254" s="66"/>
      <c r="KMN254" s="66"/>
      <c r="KMO254" s="66"/>
      <c r="KMP254" s="66"/>
      <c r="KMQ254" s="66"/>
      <c r="KMR254" s="66"/>
      <c r="KMS254" s="66"/>
      <c r="KMT254" s="66"/>
      <c r="KMU254" s="66"/>
      <c r="KMV254" s="66"/>
      <c r="KMW254" s="66"/>
      <c r="KMX254" s="66"/>
      <c r="KMY254" s="66"/>
      <c r="KMZ254" s="66"/>
      <c r="KNA254" s="66"/>
      <c r="KNB254" s="66"/>
      <c r="KNC254" s="66"/>
      <c r="KND254" s="66"/>
      <c r="KNE254" s="66"/>
      <c r="KNF254" s="66"/>
      <c r="KNG254" s="66"/>
      <c r="KNH254" s="66"/>
      <c r="KNI254" s="66"/>
      <c r="KNJ254" s="66"/>
      <c r="KNK254" s="66"/>
      <c r="KNL254" s="66"/>
      <c r="KNM254" s="66"/>
      <c r="KNN254" s="66"/>
      <c r="KNO254" s="66"/>
      <c r="KNP254" s="66"/>
      <c r="KNQ254" s="66"/>
      <c r="KNR254" s="66"/>
      <c r="KNS254" s="66"/>
      <c r="KNT254" s="66"/>
      <c r="KNU254" s="66"/>
      <c r="KNV254" s="66"/>
      <c r="KNW254" s="66"/>
      <c r="KNX254" s="66"/>
      <c r="KNY254" s="66"/>
      <c r="KNZ254" s="66"/>
      <c r="KOA254" s="66"/>
      <c r="KOB254" s="66"/>
      <c r="KOC254" s="66"/>
      <c r="KOD254" s="66"/>
      <c r="KOE254" s="66"/>
      <c r="KOF254" s="66"/>
      <c r="KOG254" s="66"/>
      <c r="KOH254" s="66"/>
      <c r="KOI254" s="66"/>
      <c r="KOJ254" s="66"/>
      <c r="KOK254" s="66"/>
      <c r="KOL254" s="66"/>
      <c r="KOM254" s="66"/>
      <c r="KON254" s="66"/>
      <c r="KOO254" s="66"/>
      <c r="KOP254" s="66"/>
      <c r="KOQ254" s="66"/>
      <c r="KOR254" s="66"/>
      <c r="KOS254" s="66"/>
      <c r="KOT254" s="66"/>
      <c r="KOU254" s="66"/>
      <c r="KOV254" s="66"/>
      <c r="KOW254" s="66"/>
      <c r="KOX254" s="66"/>
      <c r="KOY254" s="66"/>
      <c r="KOZ254" s="66"/>
      <c r="KPA254" s="66"/>
      <c r="KPB254" s="66"/>
      <c r="KPC254" s="66"/>
      <c r="KPD254" s="66"/>
      <c r="KPE254" s="66"/>
      <c r="KPF254" s="66"/>
      <c r="KPG254" s="66"/>
      <c r="KPH254" s="66"/>
      <c r="KPI254" s="66"/>
      <c r="KPJ254" s="66"/>
      <c r="KPK254" s="66"/>
      <c r="KPL254" s="66"/>
      <c r="KPM254" s="66"/>
      <c r="KPN254" s="66"/>
      <c r="KPO254" s="66"/>
      <c r="KPP254" s="66"/>
      <c r="KPQ254" s="66"/>
      <c r="KPR254" s="66"/>
      <c r="KPS254" s="66"/>
      <c r="KPT254" s="66"/>
      <c r="KPU254" s="66"/>
      <c r="KPV254" s="66"/>
      <c r="KPW254" s="66"/>
      <c r="KPX254" s="66"/>
      <c r="KPY254" s="66"/>
      <c r="KPZ254" s="66"/>
      <c r="KQA254" s="66"/>
      <c r="KQB254" s="66"/>
      <c r="KQC254" s="66"/>
      <c r="KQD254" s="66"/>
      <c r="KQE254" s="66"/>
      <c r="KQF254" s="66"/>
      <c r="KQG254" s="66"/>
      <c r="KQH254" s="66"/>
      <c r="KQI254" s="66"/>
      <c r="KQJ254" s="66"/>
      <c r="KQK254" s="66"/>
      <c r="KQL254" s="66"/>
      <c r="KQM254" s="66"/>
      <c r="KQN254" s="66"/>
      <c r="KQO254" s="66"/>
      <c r="KQP254" s="66"/>
      <c r="KQQ254" s="66"/>
      <c r="KQR254" s="66"/>
      <c r="KQS254" s="66"/>
      <c r="KQT254" s="66"/>
      <c r="KQU254" s="66"/>
      <c r="KQV254" s="66"/>
      <c r="KQW254" s="66"/>
      <c r="KQX254" s="66"/>
      <c r="KQY254" s="66"/>
      <c r="KQZ254" s="66"/>
      <c r="KRA254" s="66"/>
      <c r="KRB254" s="66"/>
      <c r="KRC254" s="66"/>
      <c r="KRD254" s="66"/>
      <c r="KRE254" s="66"/>
      <c r="KRF254" s="66"/>
      <c r="KRG254" s="66"/>
      <c r="KRH254" s="66"/>
      <c r="KRI254" s="66"/>
      <c r="KRJ254" s="66"/>
      <c r="KRK254" s="66"/>
      <c r="KRL254" s="66"/>
      <c r="KRM254" s="66"/>
      <c r="KRN254" s="66"/>
      <c r="KRO254" s="66"/>
      <c r="KRP254" s="66"/>
      <c r="KRQ254" s="66"/>
      <c r="KRR254" s="66"/>
      <c r="KRS254" s="66"/>
      <c r="KRT254" s="66"/>
      <c r="KRU254" s="66"/>
      <c r="KRV254" s="66"/>
      <c r="KRW254" s="66"/>
      <c r="KRX254" s="66"/>
      <c r="KRY254" s="66"/>
      <c r="KRZ254" s="66"/>
      <c r="KSA254" s="66"/>
      <c r="KSB254" s="66"/>
      <c r="KSC254" s="66"/>
      <c r="KSD254" s="66"/>
      <c r="KSE254" s="66"/>
      <c r="KSF254" s="66"/>
      <c r="KSG254" s="66"/>
      <c r="KSH254" s="66"/>
      <c r="KSI254" s="66"/>
      <c r="KSJ254" s="66"/>
      <c r="KSK254" s="66"/>
      <c r="KSL254" s="66"/>
      <c r="KSM254" s="66"/>
      <c r="KSN254" s="66"/>
      <c r="KSO254" s="66"/>
      <c r="KSP254" s="66"/>
      <c r="KSQ254" s="66"/>
      <c r="KSR254" s="66"/>
      <c r="KSS254" s="66"/>
      <c r="KST254" s="66"/>
      <c r="KSU254" s="66"/>
      <c r="KSV254" s="66"/>
      <c r="KSW254" s="66"/>
      <c r="KSX254" s="66"/>
      <c r="KSY254" s="66"/>
      <c r="KSZ254" s="66"/>
      <c r="KTA254" s="66"/>
      <c r="KTB254" s="66"/>
      <c r="KTC254" s="66"/>
      <c r="KTD254" s="66"/>
      <c r="KTE254" s="66"/>
      <c r="KTF254" s="66"/>
      <c r="KTG254" s="66"/>
      <c r="KTH254" s="66"/>
      <c r="KTI254" s="66"/>
      <c r="KTJ254" s="66"/>
      <c r="KTK254" s="66"/>
      <c r="KTL254" s="66"/>
      <c r="KTM254" s="66"/>
      <c r="KTN254" s="66"/>
      <c r="KTO254" s="66"/>
      <c r="KTP254" s="66"/>
      <c r="KTQ254" s="66"/>
      <c r="KTR254" s="66"/>
      <c r="KTS254" s="66"/>
      <c r="KTT254" s="66"/>
      <c r="KTU254" s="66"/>
      <c r="KTV254" s="66"/>
      <c r="KTW254" s="66"/>
      <c r="KTX254" s="66"/>
      <c r="KTY254" s="66"/>
      <c r="KTZ254" s="66"/>
      <c r="KUA254" s="66"/>
      <c r="KUB254" s="66"/>
      <c r="KUC254" s="66"/>
      <c r="KUD254" s="66"/>
      <c r="KUE254" s="66"/>
      <c r="KUF254" s="66"/>
      <c r="KUG254" s="66"/>
      <c r="KUH254" s="66"/>
      <c r="KUI254" s="66"/>
      <c r="KUJ254" s="66"/>
      <c r="KUK254" s="66"/>
      <c r="KUL254" s="66"/>
      <c r="KUM254" s="66"/>
      <c r="KUN254" s="66"/>
      <c r="KUO254" s="66"/>
      <c r="KUP254" s="66"/>
      <c r="KUQ254" s="66"/>
      <c r="KUR254" s="66"/>
      <c r="KUS254" s="66"/>
      <c r="KUT254" s="66"/>
      <c r="KUU254" s="66"/>
      <c r="KUV254" s="66"/>
      <c r="KUW254" s="66"/>
      <c r="KUX254" s="66"/>
      <c r="KUY254" s="66"/>
      <c r="KUZ254" s="66"/>
      <c r="KVA254" s="66"/>
      <c r="KVB254" s="66"/>
      <c r="KVC254" s="66"/>
      <c r="KVD254" s="66"/>
      <c r="KVE254" s="66"/>
      <c r="KVF254" s="66"/>
      <c r="KVG254" s="66"/>
      <c r="KVH254" s="66"/>
      <c r="KVI254" s="66"/>
      <c r="KVJ254" s="66"/>
      <c r="KVK254" s="66"/>
      <c r="KVL254" s="66"/>
      <c r="KVM254" s="66"/>
      <c r="KVN254" s="66"/>
      <c r="KVO254" s="66"/>
      <c r="KVP254" s="66"/>
      <c r="KVQ254" s="66"/>
      <c r="KVR254" s="66"/>
      <c r="KVS254" s="66"/>
      <c r="KVT254" s="66"/>
      <c r="KVU254" s="66"/>
      <c r="KVV254" s="66"/>
      <c r="KVW254" s="66"/>
      <c r="KVX254" s="66"/>
      <c r="KVY254" s="66"/>
      <c r="KVZ254" s="66"/>
      <c r="KWA254" s="66"/>
      <c r="KWB254" s="66"/>
      <c r="KWC254" s="66"/>
      <c r="KWD254" s="66"/>
      <c r="KWE254" s="66"/>
      <c r="KWF254" s="66"/>
      <c r="KWG254" s="66"/>
      <c r="KWH254" s="66"/>
      <c r="KWI254" s="66"/>
      <c r="KWJ254" s="66"/>
      <c r="KWK254" s="66"/>
      <c r="KWL254" s="66"/>
      <c r="KWM254" s="66"/>
      <c r="KWN254" s="66"/>
      <c r="KWO254" s="66"/>
      <c r="KWP254" s="66"/>
      <c r="KWQ254" s="66"/>
      <c r="KWR254" s="66"/>
      <c r="KWS254" s="66"/>
      <c r="KWT254" s="66"/>
      <c r="KWU254" s="66"/>
      <c r="KWV254" s="66"/>
      <c r="KWW254" s="66"/>
      <c r="KWX254" s="66"/>
      <c r="KWY254" s="66"/>
      <c r="KWZ254" s="66"/>
      <c r="KXA254" s="66"/>
      <c r="KXB254" s="66"/>
      <c r="KXC254" s="66"/>
      <c r="KXD254" s="66"/>
      <c r="KXE254" s="66"/>
      <c r="KXF254" s="66"/>
      <c r="KXG254" s="66"/>
      <c r="KXH254" s="66"/>
      <c r="KXI254" s="66"/>
      <c r="KXJ254" s="66"/>
      <c r="KXK254" s="66"/>
      <c r="KXL254" s="66"/>
      <c r="KXM254" s="66"/>
      <c r="KXN254" s="66"/>
      <c r="KXO254" s="66"/>
      <c r="KXP254" s="66"/>
      <c r="KXQ254" s="66"/>
      <c r="KXR254" s="66"/>
      <c r="KXS254" s="66"/>
      <c r="KXT254" s="66"/>
      <c r="KXU254" s="66"/>
      <c r="KXV254" s="66"/>
      <c r="KXW254" s="66"/>
      <c r="KXX254" s="66"/>
      <c r="KXY254" s="66"/>
      <c r="KXZ254" s="66"/>
      <c r="KYA254" s="66"/>
      <c r="KYB254" s="66"/>
      <c r="KYC254" s="66"/>
      <c r="KYD254" s="66"/>
      <c r="KYE254" s="66"/>
      <c r="KYF254" s="66"/>
      <c r="KYG254" s="66"/>
      <c r="KYH254" s="66"/>
      <c r="KYI254" s="66"/>
      <c r="KYJ254" s="66"/>
      <c r="KYK254" s="66"/>
      <c r="KYL254" s="66"/>
      <c r="KYM254" s="66"/>
      <c r="KYN254" s="66"/>
      <c r="KYO254" s="66"/>
      <c r="KYP254" s="66"/>
      <c r="KYQ254" s="66"/>
      <c r="KYR254" s="66"/>
      <c r="KYS254" s="66"/>
      <c r="KYT254" s="66"/>
      <c r="KYU254" s="66"/>
      <c r="KYV254" s="66"/>
      <c r="KYW254" s="66"/>
      <c r="KYX254" s="66"/>
      <c r="KYY254" s="66"/>
      <c r="KYZ254" s="66"/>
      <c r="KZA254" s="66"/>
      <c r="KZB254" s="66"/>
      <c r="KZC254" s="66"/>
      <c r="KZD254" s="66"/>
      <c r="KZE254" s="66"/>
      <c r="KZF254" s="66"/>
      <c r="KZG254" s="66"/>
      <c r="KZH254" s="66"/>
      <c r="KZI254" s="66"/>
      <c r="KZJ254" s="66"/>
      <c r="KZK254" s="66"/>
      <c r="KZL254" s="66"/>
      <c r="KZM254" s="66"/>
      <c r="KZN254" s="66"/>
      <c r="KZO254" s="66"/>
      <c r="KZP254" s="66"/>
      <c r="KZQ254" s="66"/>
      <c r="KZR254" s="66"/>
      <c r="KZS254" s="66"/>
      <c r="KZT254" s="66"/>
      <c r="KZU254" s="66"/>
      <c r="KZV254" s="66"/>
      <c r="KZW254" s="66"/>
      <c r="KZX254" s="66"/>
      <c r="KZY254" s="66"/>
      <c r="KZZ254" s="66"/>
      <c r="LAA254" s="66"/>
      <c r="LAB254" s="66"/>
      <c r="LAC254" s="66"/>
      <c r="LAD254" s="66"/>
      <c r="LAE254" s="66"/>
      <c r="LAF254" s="66"/>
      <c r="LAG254" s="66"/>
      <c r="LAH254" s="66"/>
      <c r="LAI254" s="66"/>
      <c r="LAJ254" s="66"/>
      <c r="LAK254" s="66"/>
      <c r="LAL254" s="66"/>
      <c r="LAM254" s="66"/>
      <c r="LAN254" s="66"/>
      <c r="LAO254" s="66"/>
      <c r="LAP254" s="66"/>
      <c r="LAQ254" s="66"/>
      <c r="LAR254" s="66"/>
      <c r="LAS254" s="66"/>
      <c r="LAT254" s="66"/>
      <c r="LAU254" s="66"/>
      <c r="LAV254" s="66"/>
      <c r="LAW254" s="66"/>
      <c r="LAX254" s="66"/>
      <c r="LAY254" s="66"/>
      <c r="LAZ254" s="66"/>
      <c r="LBA254" s="66"/>
      <c r="LBB254" s="66"/>
      <c r="LBC254" s="66"/>
      <c r="LBD254" s="66"/>
      <c r="LBE254" s="66"/>
      <c r="LBF254" s="66"/>
      <c r="LBG254" s="66"/>
      <c r="LBH254" s="66"/>
      <c r="LBI254" s="66"/>
      <c r="LBJ254" s="66"/>
      <c r="LBK254" s="66"/>
      <c r="LBL254" s="66"/>
      <c r="LBM254" s="66"/>
      <c r="LBN254" s="66"/>
      <c r="LBO254" s="66"/>
      <c r="LBP254" s="66"/>
      <c r="LBQ254" s="66"/>
      <c r="LBR254" s="66"/>
      <c r="LBS254" s="66"/>
      <c r="LBT254" s="66"/>
      <c r="LBU254" s="66"/>
      <c r="LBV254" s="66"/>
      <c r="LBW254" s="66"/>
      <c r="LBX254" s="66"/>
      <c r="LBY254" s="66"/>
      <c r="LBZ254" s="66"/>
      <c r="LCA254" s="66"/>
      <c r="LCB254" s="66"/>
      <c r="LCC254" s="66"/>
      <c r="LCD254" s="66"/>
      <c r="LCE254" s="66"/>
      <c r="LCF254" s="66"/>
      <c r="LCG254" s="66"/>
      <c r="LCH254" s="66"/>
      <c r="LCI254" s="66"/>
      <c r="LCJ254" s="66"/>
      <c r="LCK254" s="66"/>
      <c r="LCL254" s="66"/>
      <c r="LCM254" s="66"/>
      <c r="LCN254" s="66"/>
      <c r="LCO254" s="66"/>
      <c r="LCP254" s="66"/>
      <c r="LCQ254" s="66"/>
      <c r="LCR254" s="66"/>
      <c r="LCS254" s="66"/>
      <c r="LCT254" s="66"/>
      <c r="LCU254" s="66"/>
      <c r="LCV254" s="66"/>
      <c r="LCW254" s="66"/>
      <c r="LCX254" s="66"/>
      <c r="LCY254" s="66"/>
      <c r="LCZ254" s="66"/>
      <c r="LDA254" s="66"/>
      <c r="LDB254" s="66"/>
      <c r="LDC254" s="66"/>
      <c r="LDD254" s="66"/>
      <c r="LDE254" s="66"/>
      <c r="LDF254" s="66"/>
      <c r="LDG254" s="66"/>
      <c r="LDH254" s="66"/>
      <c r="LDI254" s="66"/>
      <c r="LDJ254" s="66"/>
      <c r="LDK254" s="66"/>
      <c r="LDL254" s="66"/>
      <c r="LDM254" s="66"/>
      <c r="LDN254" s="66"/>
      <c r="LDO254" s="66"/>
      <c r="LDP254" s="66"/>
      <c r="LDQ254" s="66"/>
      <c r="LDR254" s="66"/>
      <c r="LDS254" s="66"/>
      <c r="LDT254" s="66"/>
      <c r="LDU254" s="66"/>
      <c r="LDV254" s="66"/>
      <c r="LDW254" s="66"/>
      <c r="LDX254" s="66"/>
      <c r="LDY254" s="66"/>
      <c r="LDZ254" s="66"/>
      <c r="LEA254" s="66"/>
      <c r="LEB254" s="66"/>
      <c r="LEC254" s="66"/>
      <c r="LED254" s="66"/>
      <c r="LEE254" s="66"/>
      <c r="LEF254" s="66"/>
      <c r="LEG254" s="66"/>
      <c r="LEH254" s="66"/>
      <c r="LEI254" s="66"/>
      <c r="LEJ254" s="66"/>
      <c r="LEK254" s="66"/>
      <c r="LEL254" s="66"/>
      <c r="LEM254" s="66"/>
      <c r="LEN254" s="66"/>
      <c r="LEO254" s="66"/>
      <c r="LEP254" s="66"/>
      <c r="LEQ254" s="66"/>
      <c r="LER254" s="66"/>
      <c r="LES254" s="66"/>
      <c r="LET254" s="66"/>
      <c r="LEU254" s="66"/>
      <c r="LEV254" s="66"/>
      <c r="LEW254" s="66"/>
      <c r="LEX254" s="66"/>
      <c r="LEY254" s="66"/>
      <c r="LEZ254" s="66"/>
      <c r="LFA254" s="66"/>
      <c r="LFB254" s="66"/>
      <c r="LFC254" s="66"/>
      <c r="LFD254" s="66"/>
      <c r="LFE254" s="66"/>
      <c r="LFF254" s="66"/>
      <c r="LFG254" s="66"/>
      <c r="LFH254" s="66"/>
      <c r="LFI254" s="66"/>
      <c r="LFJ254" s="66"/>
      <c r="LFK254" s="66"/>
      <c r="LFL254" s="66"/>
      <c r="LFM254" s="66"/>
      <c r="LFN254" s="66"/>
      <c r="LFO254" s="66"/>
      <c r="LFP254" s="66"/>
      <c r="LFQ254" s="66"/>
      <c r="LFR254" s="66"/>
      <c r="LFS254" s="66"/>
      <c r="LFT254" s="66"/>
      <c r="LFU254" s="66"/>
      <c r="LFV254" s="66"/>
      <c r="LFW254" s="66"/>
      <c r="LFX254" s="66"/>
      <c r="LFY254" s="66"/>
      <c r="LFZ254" s="66"/>
      <c r="LGA254" s="66"/>
      <c r="LGB254" s="66"/>
      <c r="LGC254" s="66"/>
      <c r="LGD254" s="66"/>
      <c r="LGE254" s="66"/>
      <c r="LGF254" s="66"/>
      <c r="LGG254" s="66"/>
      <c r="LGH254" s="66"/>
      <c r="LGI254" s="66"/>
      <c r="LGJ254" s="66"/>
      <c r="LGK254" s="66"/>
      <c r="LGL254" s="66"/>
      <c r="LGM254" s="66"/>
      <c r="LGN254" s="66"/>
      <c r="LGO254" s="66"/>
      <c r="LGP254" s="66"/>
      <c r="LGQ254" s="66"/>
      <c r="LGR254" s="66"/>
      <c r="LGS254" s="66"/>
      <c r="LGT254" s="66"/>
      <c r="LGU254" s="66"/>
      <c r="LGV254" s="66"/>
      <c r="LGW254" s="66"/>
      <c r="LGX254" s="66"/>
      <c r="LGY254" s="66"/>
      <c r="LGZ254" s="66"/>
      <c r="LHA254" s="66"/>
      <c r="LHB254" s="66"/>
      <c r="LHC254" s="66"/>
      <c r="LHD254" s="66"/>
      <c r="LHE254" s="66"/>
      <c r="LHF254" s="66"/>
      <c r="LHG254" s="66"/>
      <c r="LHH254" s="66"/>
      <c r="LHI254" s="66"/>
      <c r="LHJ254" s="66"/>
      <c r="LHK254" s="66"/>
      <c r="LHL254" s="66"/>
      <c r="LHM254" s="66"/>
      <c r="LHN254" s="66"/>
      <c r="LHO254" s="66"/>
      <c r="LHP254" s="66"/>
      <c r="LHQ254" s="66"/>
      <c r="LHR254" s="66"/>
      <c r="LHS254" s="66"/>
      <c r="LHT254" s="66"/>
      <c r="LHU254" s="66"/>
      <c r="LHV254" s="66"/>
      <c r="LHW254" s="66"/>
      <c r="LHX254" s="66"/>
      <c r="LHY254" s="66"/>
      <c r="LHZ254" s="66"/>
      <c r="LIA254" s="66"/>
      <c r="LIB254" s="66"/>
      <c r="LIC254" s="66"/>
      <c r="LID254" s="66"/>
      <c r="LIE254" s="66"/>
      <c r="LIF254" s="66"/>
      <c r="LIG254" s="66"/>
      <c r="LIH254" s="66"/>
      <c r="LII254" s="66"/>
      <c r="LIJ254" s="66"/>
      <c r="LIK254" s="66"/>
      <c r="LIL254" s="66"/>
      <c r="LIM254" s="66"/>
      <c r="LIN254" s="66"/>
      <c r="LIO254" s="66"/>
      <c r="LIP254" s="66"/>
      <c r="LIQ254" s="66"/>
      <c r="LIR254" s="66"/>
      <c r="LIS254" s="66"/>
      <c r="LIT254" s="66"/>
      <c r="LIU254" s="66"/>
      <c r="LIV254" s="66"/>
      <c r="LIW254" s="66"/>
      <c r="LIX254" s="66"/>
      <c r="LIY254" s="66"/>
      <c r="LIZ254" s="66"/>
      <c r="LJA254" s="66"/>
      <c r="LJB254" s="66"/>
      <c r="LJC254" s="66"/>
      <c r="LJD254" s="66"/>
      <c r="LJE254" s="66"/>
      <c r="LJF254" s="66"/>
      <c r="LJG254" s="66"/>
      <c r="LJH254" s="66"/>
      <c r="LJI254" s="66"/>
      <c r="LJJ254" s="66"/>
      <c r="LJK254" s="66"/>
      <c r="LJL254" s="66"/>
      <c r="LJM254" s="66"/>
      <c r="LJN254" s="66"/>
      <c r="LJO254" s="66"/>
      <c r="LJP254" s="66"/>
      <c r="LJQ254" s="66"/>
      <c r="LJR254" s="66"/>
      <c r="LJS254" s="66"/>
      <c r="LJT254" s="66"/>
      <c r="LJU254" s="66"/>
      <c r="LJV254" s="66"/>
      <c r="LJW254" s="66"/>
      <c r="LJX254" s="66"/>
      <c r="LJY254" s="66"/>
      <c r="LJZ254" s="66"/>
      <c r="LKA254" s="66"/>
      <c r="LKB254" s="66"/>
      <c r="LKC254" s="66"/>
      <c r="LKD254" s="66"/>
      <c r="LKE254" s="66"/>
      <c r="LKF254" s="66"/>
      <c r="LKG254" s="66"/>
      <c r="LKH254" s="66"/>
      <c r="LKI254" s="66"/>
      <c r="LKJ254" s="66"/>
      <c r="LKK254" s="66"/>
      <c r="LKL254" s="66"/>
      <c r="LKM254" s="66"/>
      <c r="LKN254" s="66"/>
      <c r="LKO254" s="66"/>
      <c r="LKP254" s="66"/>
      <c r="LKQ254" s="66"/>
      <c r="LKR254" s="66"/>
      <c r="LKS254" s="66"/>
      <c r="LKT254" s="66"/>
      <c r="LKU254" s="66"/>
      <c r="LKV254" s="66"/>
      <c r="LKW254" s="66"/>
      <c r="LKX254" s="66"/>
      <c r="LKY254" s="66"/>
      <c r="LKZ254" s="66"/>
      <c r="LLA254" s="66"/>
      <c r="LLB254" s="66"/>
      <c r="LLC254" s="66"/>
      <c r="LLD254" s="66"/>
      <c r="LLE254" s="66"/>
      <c r="LLF254" s="66"/>
      <c r="LLG254" s="66"/>
      <c r="LLH254" s="66"/>
      <c r="LLI254" s="66"/>
      <c r="LLJ254" s="66"/>
      <c r="LLK254" s="66"/>
      <c r="LLL254" s="66"/>
      <c r="LLM254" s="66"/>
      <c r="LLN254" s="66"/>
      <c r="LLO254" s="66"/>
      <c r="LLP254" s="66"/>
      <c r="LLQ254" s="66"/>
      <c r="LLR254" s="66"/>
      <c r="LLS254" s="66"/>
      <c r="LLT254" s="66"/>
      <c r="LLU254" s="66"/>
      <c r="LLV254" s="66"/>
      <c r="LLW254" s="66"/>
      <c r="LLX254" s="66"/>
      <c r="LLY254" s="66"/>
      <c r="LLZ254" s="66"/>
      <c r="LMA254" s="66"/>
      <c r="LMB254" s="66"/>
      <c r="LMC254" s="66"/>
      <c r="LMD254" s="66"/>
      <c r="LME254" s="66"/>
      <c r="LMF254" s="66"/>
      <c r="LMG254" s="66"/>
      <c r="LMH254" s="66"/>
      <c r="LMI254" s="66"/>
      <c r="LMJ254" s="66"/>
      <c r="LMK254" s="66"/>
      <c r="LML254" s="66"/>
      <c r="LMM254" s="66"/>
      <c r="LMN254" s="66"/>
      <c r="LMO254" s="66"/>
      <c r="LMP254" s="66"/>
      <c r="LMQ254" s="66"/>
      <c r="LMR254" s="66"/>
      <c r="LMS254" s="66"/>
      <c r="LMT254" s="66"/>
      <c r="LMU254" s="66"/>
      <c r="LMV254" s="66"/>
      <c r="LMW254" s="66"/>
      <c r="LMX254" s="66"/>
      <c r="LMY254" s="66"/>
      <c r="LMZ254" s="66"/>
      <c r="LNA254" s="66"/>
      <c r="LNB254" s="66"/>
      <c r="LNC254" s="66"/>
      <c r="LND254" s="66"/>
      <c r="LNE254" s="66"/>
      <c r="LNF254" s="66"/>
      <c r="LNG254" s="66"/>
      <c r="LNH254" s="66"/>
      <c r="LNI254" s="66"/>
      <c r="LNJ254" s="66"/>
      <c r="LNK254" s="66"/>
      <c r="LNL254" s="66"/>
      <c r="LNM254" s="66"/>
      <c r="LNN254" s="66"/>
      <c r="LNO254" s="66"/>
      <c r="LNP254" s="66"/>
      <c r="LNQ254" s="66"/>
      <c r="LNR254" s="66"/>
      <c r="LNS254" s="66"/>
      <c r="LNT254" s="66"/>
      <c r="LNU254" s="66"/>
      <c r="LNV254" s="66"/>
      <c r="LNW254" s="66"/>
      <c r="LNX254" s="66"/>
      <c r="LNY254" s="66"/>
      <c r="LNZ254" s="66"/>
      <c r="LOA254" s="66"/>
      <c r="LOB254" s="66"/>
      <c r="LOC254" s="66"/>
      <c r="LOD254" s="66"/>
      <c r="LOE254" s="66"/>
      <c r="LOF254" s="66"/>
      <c r="LOG254" s="66"/>
      <c r="LOH254" s="66"/>
      <c r="LOI254" s="66"/>
      <c r="LOJ254" s="66"/>
      <c r="LOK254" s="66"/>
      <c r="LOL254" s="66"/>
      <c r="LOM254" s="66"/>
      <c r="LON254" s="66"/>
      <c r="LOO254" s="66"/>
      <c r="LOP254" s="66"/>
      <c r="LOQ254" s="66"/>
      <c r="LOR254" s="66"/>
      <c r="LOS254" s="66"/>
      <c r="LOT254" s="66"/>
      <c r="LOU254" s="66"/>
      <c r="LOV254" s="66"/>
      <c r="LOW254" s="66"/>
      <c r="LOX254" s="66"/>
      <c r="LOY254" s="66"/>
      <c r="LOZ254" s="66"/>
      <c r="LPA254" s="66"/>
      <c r="LPB254" s="66"/>
      <c r="LPC254" s="66"/>
      <c r="LPD254" s="66"/>
      <c r="LPE254" s="66"/>
      <c r="LPF254" s="66"/>
      <c r="LPG254" s="66"/>
      <c r="LPH254" s="66"/>
      <c r="LPI254" s="66"/>
      <c r="LPJ254" s="66"/>
      <c r="LPK254" s="66"/>
      <c r="LPL254" s="66"/>
      <c r="LPM254" s="66"/>
      <c r="LPN254" s="66"/>
      <c r="LPO254" s="66"/>
      <c r="LPP254" s="66"/>
      <c r="LPQ254" s="66"/>
      <c r="LPR254" s="66"/>
      <c r="LPS254" s="66"/>
      <c r="LPT254" s="66"/>
      <c r="LPU254" s="66"/>
      <c r="LPV254" s="66"/>
      <c r="LPW254" s="66"/>
      <c r="LPX254" s="66"/>
      <c r="LPY254" s="66"/>
      <c r="LPZ254" s="66"/>
      <c r="LQA254" s="66"/>
      <c r="LQB254" s="66"/>
      <c r="LQC254" s="66"/>
      <c r="LQD254" s="66"/>
      <c r="LQE254" s="66"/>
      <c r="LQF254" s="66"/>
      <c r="LQG254" s="66"/>
      <c r="LQH254" s="66"/>
      <c r="LQI254" s="66"/>
      <c r="LQJ254" s="66"/>
      <c r="LQK254" s="66"/>
      <c r="LQL254" s="66"/>
      <c r="LQM254" s="66"/>
      <c r="LQN254" s="66"/>
      <c r="LQO254" s="66"/>
      <c r="LQP254" s="66"/>
      <c r="LQQ254" s="66"/>
      <c r="LQR254" s="66"/>
      <c r="LQS254" s="66"/>
      <c r="LQT254" s="66"/>
      <c r="LQU254" s="66"/>
      <c r="LQV254" s="66"/>
      <c r="LQW254" s="66"/>
      <c r="LQX254" s="66"/>
      <c r="LQY254" s="66"/>
      <c r="LQZ254" s="66"/>
      <c r="LRA254" s="66"/>
      <c r="LRB254" s="66"/>
      <c r="LRC254" s="66"/>
      <c r="LRD254" s="66"/>
      <c r="LRE254" s="66"/>
      <c r="LRF254" s="66"/>
      <c r="LRG254" s="66"/>
      <c r="LRH254" s="66"/>
      <c r="LRI254" s="66"/>
      <c r="LRJ254" s="66"/>
      <c r="LRK254" s="66"/>
      <c r="LRL254" s="66"/>
      <c r="LRM254" s="66"/>
      <c r="LRN254" s="66"/>
      <c r="LRO254" s="66"/>
      <c r="LRP254" s="66"/>
      <c r="LRQ254" s="66"/>
      <c r="LRR254" s="66"/>
      <c r="LRS254" s="66"/>
      <c r="LRT254" s="66"/>
      <c r="LRU254" s="66"/>
      <c r="LRV254" s="66"/>
      <c r="LRW254" s="66"/>
      <c r="LRX254" s="66"/>
      <c r="LRY254" s="66"/>
      <c r="LRZ254" s="66"/>
      <c r="LSA254" s="66"/>
      <c r="LSB254" s="66"/>
      <c r="LSC254" s="66"/>
      <c r="LSD254" s="66"/>
      <c r="LSE254" s="66"/>
      <c r="LSF254" s="66"/>
      <c r="LSG254" s="66"/>
      <c r="LSH254" s="66"/>
      <c r="LSI254" s="66"/>
      <c r="LSJ254" s="66"/>
      <c r="LSK254" s="66"/>
      <c r="LSL254" s="66"/>
      <c r="LSM254" s="66"/>
      <c r="LSN254" s="66"/>
      <c r="LSO254" s="66"/>
      <c r="LSP254" s="66"/>
      <c r="LSQ254" s="66"/>
      <c r="LSR254" s="66"/>
      <c r="LSS254" s="66"/>
      <c r="LST254" s="66"/>
      <c r="LSU254" s="66"/>
      <c r="LSV254" s="66"/>
      <c r="LSW254" s="66"/>
      <c r="LSX254" s="66"/>
      <c r="LSY254" s="66"/>
      <c r="LSZ254" s="66"/>
      <c r="LTA254" s="66"/>
      <c r="LTB254" s="66"/>
      <c r="LTC254" s="66"/>
      <c r="LTD254" s="66"/>
      <c r="LTE254" s="66"/>
      <c r="LTF254" s="66"/>
      <c r="LTG254" s="66"/>
      <c r="LTH254" s="66"/>
      <c r="LTI254" s="66"/>
      <c r="LTJ254" s="66"/>
      <c r="LTK254" s="66"/>
      <c r="LTL254" s="66"/>
      <c r="LTM254" s="66"/>
      <c r="LTN254" s="66"/>
      <c r="LTO254" s="66"/>
      <c r="LTP254" s="66"/>
      <c r="LTQ254" s="66"/>
      <c r="LTR254" s="66"/>
      <c r="LTS254" s="66"/>
      <c r="LTT254" s="66"/>
      <c r="LTU254" s="66"/>
      <c r="LTV254" s="66"/>
      <c r="LTW254" s="66"/>
      <c r="LTX254" s="66"/>
      <c r="LTY254" s="66"/>
      <c r="LTZ254" s="66"/>
      <c r="LUA254" s="66"/>
      <c r="LUB254" s="66"/>
      <c r="LUC254" s="66"/>
      <c r="LUD254" s="66"/>
      <c r="LUE254" s="66"/>
      <c r="LUF254" s="66"/>
      <c r="LUG254" s="66"/>
      <c r="LUH254" s="66"/>
      <c r="LUI254" s="66"/>
      <c r="LUJ254" s="66"/>
      <c r="LUK254" s="66"/>
      <c r="LUL254" s="66"/>
      <c r="LUM254" s="66"/>
      <c r="LUN254" s="66"/>
      <c r="LUO254" s="66"/>
      <c r="LUP254" s="66"/>
      <c r="LUQ254" s="66"/>
      <c r="LUR254" s="66"/>
      <c r="LUS254" s="66"/>
      <c r="LUT254" s="66"/>
      <c r="LUU254" s="66"/>
      <c r="LUV254" s="66"/>
      <c r="LUW254" s="66"/>
      <c r="LUX254" s="66"/>
      <c r="LUY254" s="66"/>
      <c r="LUZ254" s="66"/>
      <c r="LVA254" s="66"/>
      <c r="LVB254" s="66"/>
      <c r="LVC254" s="66"/>
      <c r="LVD254" s="66"/>
      <c r="LVE254" s="66"/>
      <c r="LVF254" s="66"/>
      <c r="LVG254" s="66"/>
      <c r="LVH254" s="66"/>
      <c r="LVI254" s="66"/>
      <c r="LVJ254" s="66"/>
      <c r="LVK254" s="66"/>
      <c r="LVL254" s="66"/>
      <c r="LVM254" s="66"/>
      <c r="LVN254" s="66"/>
      <c r="LVO254" s="66"/>
      <c r="LVP254" s="66"/>
      <c r="LVQ254" s="66"/>
      <c r="LVR254" s="66"/>
      <c r="LVS254" s="66"/>
      <c r="LVT254" s="66"/>
      <c r="LVU254" s="66"/>
      <c r="LVV254" s="66"/>
      <c r="LVW254" s="66"/>
      <c r="LVX254" s="66"/>
      <c r="LVY254" s="66"/>
      <c r="LVZ254" s="66"/>
      <c r="LWA254" s="66"/>
      <c r="LWB254" s="66"/>
      <c r="LWC254" s="66"/>
      <c r="LWD254" s="66"/>
      <c r="LWE254" s="66"/>
      <c r="LWF254" s="66"/>
      <c r="LWG254" s="66"/>
      <c r="LWH254" s="66"/>
      <c r="LWI254" s="66"/>
      <c r="LWJ254" s="66"/>
      <c r="LWK254" s="66"/>
      <c r="LWL254" s="66"/>
      <c r="LWM254" s="66"/>
      <c r="LWN254" s="66"/>
      <c r="LWO254" s="66"/>
      <c r="LWP254" s="66"/>
      <c r="LWQ254" s="66"/>
      <c r="LWR254" s="66"/>
      <c r="LWS254" s="66"/>
      <c r="LWT254" s="66"/>
      <c r="LWU254" s="66"/>
      <c r="LWV254" s="66"/>
      <c r="LWW254" s="66"/>
      <c r="LWX254" s="66"/>
      <c r="LWY254" s="66"/>
      <c r="LWZ254" s="66"/>
      <c r="LXA254" s="66"/>
      <c r="LXB254" s="66"/>
      <c r="LXC254" s="66"/>
      <c r="LXD254" s="66"/>
      <c r="LXE254" s="66"/>
      <c r="LXF254" s="66"/>
      <c r="LXG254" s="66"/>
      <c r="LXH254" s="66"/>
      <c r="LXI254" s="66"/>
      <c r="LXJ254" s="66"/>
      <c r="LXK254" s="66"/>
      <c r="LXL254" s="66"/>
      <c r="LXM254" s="66"/>
      <c r="LXN254" s="66"/>
      <c r="LXO254" s="66"/>
      <c r="LXP254" s="66"/>
      <c r="LXQ254" s="66"/>
      <c r="LXR254" s="66"/>
      <c r="LXS254" s="66"/>
      <c r="LXT254" s="66"/>
      <c r="LXU254" s="66"/>
      <c r="LXV254" s="66"/>
      <c r="LXW254" s="66"/>
      <c r="LXX254" s="66"/>
      <c r="LXY254" s="66"/>
      <c r="LXZ254" s="66"/>
      <c r="LYA254" s="66"/>
      <c r="LYB254" s="66"/>
      <c r="LYC254" s="66"/>
      <c r="LYD254" s="66"/>
      <c r="LYE254" s="66"/>
      <c r="LYF254" s="66"/>
      <c r="LYG254" s="66"/>
      <c r="LYH254" s="66"/>
      <c r="LYI254" s="66"/>
      <c r="LYJ254" s="66"/>
      <c r="LYK254" s="66"/>
      <c r="LYL254" s="66"/>
      <c r="LYM254" s="66"/>
      <c r="LYN254" s="66"/>
      <c r="LYO254" s="66"/>
      <c r="LYP254" s="66"/>
      <c r="LYQ254" s="66"/>
      <c r="LYR254" s="66"/>
      <c r="LYS254" s="66"/>
      <c r="LYT254" s="66"/>
      <c r="LYU254" s="66"/>
      <c r="LYV254" s="66"/>
      <c r="LYW254" s="66"/>
      <c r="LYX254" s="66"/>
      <c r="LYY254" s="66"/>
      <c r="LYZ254" s="66"/>
      <c r="LZA254" s="66"/>
      <c r="LZB254" s="66"/>
      <c r="LZC254" s="66"/>
      <c r="LZD254" s="66"/>
      <c r="LZE254" s="66"/>
      <c r="LZF254" s="66"/>
      <c r="LZG254" s="66"/>
      <c r="LZH254" s="66"/>
      <c r="LZI254" s="66"/>
      <c r="LZJ254" s="66"/>
      <c r="LZK254" s="66"/>
      <c r="LZL254" s="66"/>
      <c r="LZM254" s="66"/>
      <c r="LZN254" s="66"/>
      <c r="LZO254" s="66"/>
      <c r="LZP254" s="66"/>
      <c r="LZQ254" s="66"/>
      <c r="LZR254" s="66"/>
      <c r="LZS254" s="66"/>
      <c r="LZT254" s="66"/>
      <c r="LZU254" s="66"/>
      <c r="LZV254" s="66"/>
      <c r="LZW254" s="66"/>
      <c r="LZX254" s="66"/>
      <c r="LZY254" s="66"/>
      <c r="LZZ254" s="66"/>
      <c r="MAA254" s="66"/>
      <c r="MAB254" s="66"/>
      <c r="MAC254" s="66"/>
      <c r="MAD254" s="66"/>
      <c r="MAE254" s="66"/>
      <c r="MAF254" s="66"/>
      <c r="MAG254" s="66"/>
      <c r="MAH254" s="66"/>
      <c r="MAI254" s="66"/>
      <c r="MAJ254" s="66"/>
      <c r="MAK254" s="66"/>
      <c r="MAL254" s="66"/>
      <c r="MAM254" s="66"/>
      <c r="MAN254" s="66"/>
      <c r="MAO254" s="66"/>
      <c r="MAP254" s="66"/>
      <c r="MAQ254" s="66"/>
      <c r="MAR254" s="66"/>
      <c r="MAS254" s="66"/>
      <c r="MAT254" s="66"/>
      <c r="MAU254" s="66"/>
      <c r="MAV254" s="66"/>
      <c r="MAW254" s="66"/>
      <c r="MAX254" s="66"/>
      <c r="MAY254" s="66"/>
      <c r="MAZ254" s="66"/>
      <c r="MBA254" s="66"/>
      <c r="MBB254" s="66"/>
      <c r="MBC254" s="66"/>
      <c r="MBD254" s="66"/>
      <c r="MBE254" s="66"/>
      <c r="MBF254" s="66"/>
      <c r="MBG254" s="66"/>
      <c r="MBH254" s="66"/>
      <c r="MBI254" s="66"/>
      <c r="MBJ254" s="66"/>
      <c r="MBK254" s="66"/>
      <c r="MBL254" s="66"/>
      <c r="MBM254" s="66"/>
      <c r="MBN254" s="66"/>
      <c r="MBO254" s="66"/>
      <c r="MBP254" s="66"/>
      <c r="MBQ254" s="66"/>
      <c r="MBR254" s="66"/>
      <c r="MBS254" s="66"/>
      <c r="MBT254" s="66"/>
      <c r="MBU254" s="66"/>
      <c r="MBV254" s="66"/>
      <c r="MBW254" s="66"/>
      <c r="MBX254" s="66"/>
      <c r="MBY254" s="66"/>
      <c r="MBZ254" s="66"/>
      <c r="MCA254" s="66"/>
      <c r="MCB254" s="66"/>
      <c r="MCC254" s="66"/>
      <c r="MCD254" s="66"/>
      <c r="MCE254" s="66"/>
      <c r="MCF254" s="66"/>
      <c r="MCG254" s="66"/>
      <c r="MCH254" s="66"/>
      <c r="MCI254" s="66"/>
      <c r="MCJ254" s="66"/>
      <c r="MCK254" s="66"/>
      <c r="MCL254" s="66"/>
      <c r="MCM254" s="66"/>
      <c r="MCN254" s="66"/>
      <c r="MCO254" s="66"/>
      <c r="MCP254" s="66"/>
      <c r="MCQ254" s="66"/>
      <c r="MCR254" s="66"/>
      <c r="MCS254" s="66"/>
      <c r="MCT254" s="66"/>
      <c r="MCU254" s="66"/>
      <c r="MCV254" s="66"/>
      <c r="MCW254" s="66"/>
      <c r="MCX254" s="66"/>
      <c r="MCY254" s="66"/>
      <c r="MCZ254" s="66"/>
      <c r="MDA254" s="66"/>
      <c r="MDB254" s="66"/>
      <c r="MDC254" s="66"/>
      <c r="MDD254" s="66"/>
      <c r="MDE254" s="66"/>
      <c r="MDF254" s="66"/>
      <c r="MDG254" s="66"/>
      <c r="MDH254" s="66"/>
      <c r="MDI254" s="66"/>
      <c r="MDJ254" s="66"/>
      <c r="MDK254" s="66"/>
      <c r="MDL254" s="66"/>
      <c r="MDM254" s="66"/>
      <c r="MDN254" s="66"/>
      <c r="MDO254" s="66"/>
      <c r="MDP254" s="66"/>
      <c r="MDQ254" s="66"/>
      <c r="MDR254" s="66"/>
      <c r="MDS254" s="66"/>
      <c r="MDT254" s="66"/>
      <c r="MDU254" s="66"/>
      <c r="MDV254" s="66"/>
      <c r="MDW254" s="66"/>
      <c r="MDX254" s="66"/>
      <c r="MDY254" s="66"/>
      <c r="MDZ254" s="66"/>
      <c r="MEA254" s="66"/>
      <c r="MEB254" s="66"/>
      <c r="MEC254" s="66"/>
      <c r="MED254" s="66"/>
      <c r="MEE254" s="66"/>
      <c r="MEF254" s="66"/>
      <c r="MEG254" s="66"/>
      <c r="MEH254" s="66"/>
      <c r="MEI254" s="66"/>
      <c r="MEJ254" s="66"/>
      <c r="MEK254" s="66"/>
      <c r="MEL254" s="66"/>
      <c r="MEM254" s="66"/>
      <c r="MEN254" s="66"/>
      <c r="MEO254" s="66"/>
      <c r="MEP254" s="66"/>
      <c r="MEQ254" s="66"/>
      <c r="MER254" s="66"/>
      <c r="MES254" s="66"/>
      <c r="MET254" s="66"/>
      <c r="MEU254" s="66"/>
      <c r="MEV254" s="66"/>
      <c r="MEW254" s="66"/>
      <c r="MEX254" s="66"/>
      <c r="MEY254" s="66"/>
      <c r="MEZ254" s="66"/>
      <c r="MFA254" s="66"/>
      <c r="MFB254" s="66"/>
      <c r="MFC254" s="66"/>
      <c r="MFD254" s="66"/>
      <c r="MFE254" s="66"/>
      <c r="MFF254" s="66"/>
      <c r="MFG254" s="66"/>
      <c r="MFH254" s="66"/>
      <c r="MFI254" s="66"/>
      <c r="MFJ254" s="66"/>
      <c r="MFK254" s="66"/>
      <c r="MFL254" s="66"/>
      <c r="MFM254" s="66"/>
      <c r="MFN254" s="66"/>
      <c r="MFO254" s="66"/>
      <c r="MFP254" s="66"/>
      <c r="MFQ254" s="66"/>
      <c r="MFR254" s="66"/>
      <c r="MFS254" s="66"/>
      <c r="MFT254" s="66"/>
      <c r="MFU254" s="66"/>
      <c r="MFV254" s="66"/>
      <c r="MFW254" s="66"/>
      <c r="MFX254" s="66"/>
      <c r="MFY254" s="66"/>
      <c r="MFZ254" s="66"/>
      <c r="MGA254" s="66"/>
      <c r="MGB254" s="66"/>
      <c r="MGC254" s="66"/>
      <c r="MGD254" s="66"/>
      <c r="MGE254" s="66"/>
      <c r="MGF254" s="66"/>
      <c r="MGG254" s="66"/>
      <c r="MGH254" s="66"/>
      <c r="MGI254" s="66"/>
      <c r="MGJ254" s="66"/>
      <c r="MGK254" s="66"/>
      <c r="MGL254" s="66"/>
      <c r="MGM254" s="66"/>
      <c r="MGN254" s="66"/>
      <c r="MGO254" s="66"/>
      <c r="MGP254" s="66"/>
      <c r="MGQ254" s="66"/>
      <c r="MGR254" s="66"/>
      <c r="MGS254" s="66"/>
      <c r="MGT254" s="66"/>
      <c r="MGU254" s="66"/>
      <c r="MGV254" s="66"/>
      <c r="MGW254" s="66"/>
      <c r="MGX254" s="66"/>
      <c r="MGY254" s="66"/>
      <c r="MGZ254" s="66"/>
      <c r="MHA254" s="66"/>
      <c r="MHB254" s="66"/>
      <c r="MHC254" s="66"/>
      <c r="MHD254" s="66"/>
      <c r="MHE254" s="66"/>
      <c r="MHF254" s="66"/>
      <c r="MHG254" s="66"/>
      <c r="MHH254" s="66"/>
      <c r="MHI254" s="66"/>
      <c r="MHJ254" s="66"/>
      <c r="MHK254" s="66"/>
      <c r="MHL254" s="66"/>
      <c r="MHM254" s="66"/>
      <c r="MHN254" s="66"/>
      <c r="MHO254" s="66"/>
      <c r="MHP254" s="66"/>
      <c r="MHQ254" s="66"/>
      <c r="MHR254" s="66"/>
      <c r="MHS254" s="66"/>
      <c r="MHT254" s="66"/>
      <c r="MHU254" s="66"/>
      <c r="MHV254" s="66"/>
      <c r="MHW254" s="66"/>
      <c r="MHX254" s="66"/>
      <c r="MHY254" s="66"/>
      <c r="MHZ254" s="66"/>
      <c r="MIA254" s="66"/>
      <c r="MIB254" s="66"/>
      <c r="MIC254" s="66"/>
      <c r="MID254" s="66"/>
      <c r="MIE254" s="66"/>
      <c r="MIF254" s="66"/>
      <c r="MIG254" s="66"/>
      <c r="MIH254" s="66"/>
      <c r="MII254" s="66"/>
      <c r="MIJ254" s="66"/>
      <c r="MIK254" s="66"/>
      <c r="MIL254" s="66"/>
      <c r="MIM254" s="66"/>
      <c r="MIN254" s="66"/>
      <c r="MIO254" s="66"/>
      <c r="MIP254" s="66"/>
      <c r="MIQ254" s="66"/>
      <c r="MIR254" s="66"/>
      <c r="MIS254" s="66"/>
      <c r="MIT254" s="66"/>
      <c r="MIU254" s="66"/>
      <c r="MIV254" s="66"/>
      <c r="MIW254" s="66"/>
      <c r="MIX254" s="66"/>
      <c r="MIY254" s="66"/>
      <c r="MIZ254" s="66"/>
      <c r="MJA254" s="66"/>
      <c r="MJB254" s="66"/>
      <c r="MJC254" s="66"/>
      <c r="MJD254" s="66"/>
      <c r="MJE254" s="66"/>
      <c r="MJF254" s="66"/>
      <c r="MJG254" s="66"/>
      <c r="MJH254" s="66"/>
      <c r="MJI254" s="66"/>
      <c r="MJJ254" s="66"/>
      <c r="MJK254" s="66"/>
      <c r="MJL254" s="66"/>
      <c r="MJM254" s="66"/>
      <c r="MJN254" s="66"/>
      <c r="MJO254" s="66"/>
      <c r="MJP254" s="66"/>
      <c r="MJQ254" s="66"/>
      <c r="MJR254" s="66"/>
      <c r="MJS254" s="66"/>
      <c r="MJT254" s="66"/>
      <c r="MJU254" s="66"/>
      <c r="MJV254" s="66"/>
      <c r="MJW254" s="66"/>
      <c r="MJX254" s="66"/>
      <c r="MJY254" s="66"/>
      <c r="MJZ254" s="66"/>
      <c r="MKA254" s="66"/>
      <c r="MKB254" s="66"/>
      <c r="MKC254" s="66"/>
      <c r="MKD254" s="66"/>
      <c r="MKE254" s="66"/>
      <c r="MKF254" s="66"/>
      <c r="MKG254" s="66"/>
      <c r="MKH254" s="66"/>
      <c r="MKI254" s="66"/>
      <c r="MKJ254" s="66"/>
      <c r="MKK254" s="66"/>
      <c r="MKL254" s="66"/>
      <c r="MKM254" s="66"/>
      <c r="MKN254" s="66"/>
      <c r="MKO254" s="66"/>
      <c r="MKP254" s="66"/>
      <c r="MKQ254" s="66"/>
      <c r="MKR254" s="66"/>
      <c r="MKS254" s="66"/>
      <c r="MKT254" s="66"/>
      <c r="MKU254" s="66"/>
      <c r="MKV254" s="66"/>
      <c r="MKW254" s="66"/>
      <c r="MKX254" s="66"/>
      <c r="MKY254" s="66"/>
      <c r="MKZ254" s="66"/>
      <c r="MLA254" s="66"/>
      <c r="MLB254" s="66"/>
      <c r="MLC254" s="66"/>
      <c r="MLD254" s="66"/>
      <c r="MLE254" s="66"/>
      <c r="MLF254" s="66"/>
      <c r="MLG254" s="66"/>
      <c r="MLH254" s="66"/>
      <c r="MLI254" s="66"/>
      <c r="MLJ254" s="66"/>
      <c r="MLK254" s="66"/>
      <c r="MLL254" s="66"/>
      <c r="MLM254" s="66"/>
      <c r="MLN254" s="66"/>
      <c r="MLO254" s="66"/>
      <c r="MLP254" s="66"/>
      <c r="MLQ254" s="66"/>
      <c r="MLR254" s="66"/>
      <c r="MLS254" s="66"/>
      <c r="MLT254" s="66"/>
      <c r="MLU254" s="66"/>
      <c r="MLV254" s="66"/>
      <c r="MLW254" s="66"/>
      <c r="MLX254" s="66"/>
      <c r="MLY254" s="66"/>
      <c r="MLZ254" s="66"/>
      <c r="MMA254" s="66"/>
      <c r="MMB254" s="66"/>
      <c r="MMC254" s="66"/>
      <c r="MMD254" s="66"/>
      <c r="MME254" s="66"/>
      <c r="MMF254" s="66"/>
      <c r="MMG254" s="66"/>
      <c r="MMH254" s="66"/>
      <c r="MMI254" s="66"/>
      <c r="MMJ254" s="66"/>
      <c r="MMK254" s="66"/>
      <c r="MML254" s="66"/>
      <c r="MMM254" s="66"/>
      <c r="MMN254" s="66"/>
      <c r="MMO254" s="66"/>
      <c r="MMP254" s="66"/>
      <c r="MMQ254" s="66"/>
      <c r="MMR254" s="66"/>
      <c r="MMS254" s="66"/>
      <c r="MMT254" s="66"/>
      <c r="MMU254" s="66"/>
      <c r="MMV254" s="66"/>
      <c r="MMW254" s="66"/>
      <c r="MMX254" s="66"/>
      <c r="MMY254" s="66"/>
      <c r="MMZ254" s="66"/>
      <c r="MNA254" s="66"/>
      <c r="MNB254" s="66"/>
      <c r="MNC254" s="66"/>
      <c r="MND254" s="66"/>
      <c r="MNE254" s="66"/>
      <c r="MNF254" s="66"/>
      <c r="MNG254" s="66"/>
      <c r="MNH254" s="66"/>
      <c r="MNI254" s="66"/>
      <c r="MNJ254" s="66"/>
      <c r="MNK254" s="66"/>
      <c r="MNL254" s="66"/>
      <c r="MNM254" s="66"/>
      <c r="MNN254" s="66"/>
      <c r="MNO254" s="66"/>
      <c r="MNP254" s="66"/>
      <c r="MNQ254" s="66"/>
      <c r="MNR254" s="66"/>
      <c r="MNS254" s="66"/>
      <c r="MNT254" s="66"/>
      <c r="MNU254" s="66"/>
      <c r="MNV254" s="66"/>
      <c r="MNW254" s="66"/>
      <c r="MNX254" s="66"/>
      <c r="MNY254" s="66"/>
      <c r="MNZ254" s="66"/>
      <c r="MOA254" s="66"/>
      <c r="MOB254" s="66"/>
      <c r="MOC254" s="66"/>
      <c r="MOD254" s="66"/>
      <c r="MOE254" s="66"/>
      <c r="MOF254" s="66"/>
      <c r="MOG254" s="66"/>
      <c r="MOH254" s="66"/>
      <c r="MOI254" s="66"/>
      <c r="MOJ254" s="66"/>
      <c r="MOK254" s="66"/>
      <c r="MOL254" s="66"/>
      <c r="MOM254" s="66"/>
      <c r="MON254" s="66"/>
      <c r="MOO254" s="66"/>
      <c r="MOP254" s="66"/>
      <c r="MOQ254" s="66"/>
      <c r="MOR254" s="66"/>
      <c r="MOS254" s="66"/>
      <c r="MOT254" s="66"/>
      <c r="MOU254" s="66"/>
      <c r="MOV254" s="66"/>
      <c r="MOW254" s="66"/>
      <c r="MOX254" s="66"/>
      <c r="MOY254" s="66"/>
      <c r="MOZ254" s="66"/>
      <c r="MPA254" s="66"/>
      <c r="MPB254" s="66"/>
      <c r="MPC254" s="66"/>
      <c r="MPD254" s="66"/>
      <c r="MPE254" s="66"/>
      <c r="MPF254" s="66"/>
      <c r="MPG254" s="66"/>
      <c r="MPH254" s="66"/>
      <c r="MPI254" s="66"/>
      <c r="MPJ254" s="66"/>
      <c r="MPK254" s="66"/>
      <c r="MPL254" s="66"/>
      <c r="MPM254" s="66"/>
      <c r="MPN254" s="66"/>
      <c r="MPO254" s="66"/>
      <c r="MPP254" s="66"/>
      <c r="MPQ254" s="66"/>
      <c r="MPR254" s="66"/>
      <c r="MPS254" s="66"/>
      <c r="MPT254" s="66"/>
      <c r="MPU254" s="66"/>
      <c r="MPV254" s="66"/>
      <c r="MPW254" s="66"/>
      <c r="MPX254" s="66"/>
      <c r="MPY254" s="66"/>
      <c r="MPZ254" s="66"/>
      <c r="MQA254" s="66"/>
      <c r="MQB254" s="66"/>
      <c r="MQC254" s="66"/>
      <c r="MQD254" s="66"/>
      <c r="MQE254" s="66"/>
      <c r="MQF254" s="66"/>
      <c r="MQG254" s="66"/>
      <c r="MQH254" s="66"/>
      <c r="MQI254" s="66"/>
      <c r="MQJ254" s="66"/>
      <c r="MQK254" s="66"/>
      <c r="MQL254" s="66"/>
      <c r="MQM254" s="66"/>
      <c r="MQN254" s="66"/>
      <c r="MQO254" s="66"/>
      <c r="MQP254" s="66"/>
      <c r="MQQ254" s="66"/>
      <c r="MQR254" s="66"/>
      <c r="MQS254" s="66"/>
      <c r="MQT254" s="66"/>
      <c r="MQU254" s="66"/>
      <c r="MQV254" s="66"/>
      <c r="MQW254" s="66"/>
      <c r="MQX254" s="66"/>
      <c r="MQY254" s="66"/>
      <c r="MQZ254" s="66"/>
      <c r="MRA254" s="66"/>
      <c r="MRB254" s="66"/>
      <c r="MRC254" s="66"/>
      <c r="MRD254" s="66"/>
      <c r="MRE254" s="66"/>
      <c r="MRF254" s="66"/>
      <c r="MRG254" s="66"/>
      <c r="MRH254" s="66"/>
      <c r="MRI254" s="66"/>
      <c r="MRJ254" s="66"/>
      <c r="MRK254" s="66"/>
      <c r="MRL254" s="66"/>
      <c r="MRM254" s="66"/>
      <c r="MRN254" s="66"/>
      <c r="MRO254" s="66"/>
      <c r="MRP254" s="66"/>
      <c r="MRQ254" s="66"/>
      <c r="MRR254" s="66"/>
      <c r="MRS254" s="66"/>
      <c r="MRT254" s="66"/>
      <c r="MRU254" s="66"/>
      <c r="MRV254" s="66"/>
      <c r="MRW254" s="66"/>
      <c r="MRX254" s="66"/>
      <c r="MRY254" s="66"/>
      <c r="MRZ254" s="66"/>
      <c r="MSA254" s="66"/>
      <c r="MSB254" s="66"/>
      <c r="MSC254" s="66"/>
      <c r="MSD254" s="66"/>
      <c r="MSE254" s="66"/>
      <c r="MSF254" s="66"/>
      <c r="MSG254" s="66"/>
      <c r="MSH254" s="66"/>
      <c r="MSI254" s="66"/>
      <c r="MSJ254" s="66"/>
      <c r="MSK254" s="66"/>
      <c r="MSL254" s="66"/>
      <c r="MSM254" s="66"/>
      <c r="MSN254" s="66"/>
      <c r="MSO254" s="66"/>
      <c r="MSP254" s="66"/>
      <c r="MSQ254" s="66"/>
      <c r="MSR254" s="66"/>
      <c r="MSS254" s="66"/>
      <c r="MST254" s="66"/>
      <c r="MSU254" s="66"/>
      <c r="MSV254" s="66"/>
      <c r="MSW254" s="66"/>
      <c r="MSX254" s="66"/>
      <c r="MSY254" s="66"/>
      <c r="MSZ254" s="66"/>
      <c r="MTA254" s="66"/>
      <c r="MTB254" s="66"/>
      <c r="MTC254" s="66"/>
      <c r="MTD254" s="66"/>
      <c r="MTE254" s="66"/>
      <c r="MTF254" s="66"/>
      <c r="MTG254" s="66"/>
      <c r="MTH254" s="66"/>
      <c r="MTI254" s="66"/>
      <c r="MTJ254" s="66"/>
      <c r="MTK254" s="66"/>
      <c r="MTL254" s="66"/>
      <c r="MTM254" s="66"/>
      <c r="MTN254" s="66"/>
      <c r="MTO254" s="66"/>
      <c r="MTP254" s="66"/>
      <c r="MTQ254" s="66"/>
      <c r="MTR254" s="66"/>
      <c r="MTS254" s="66"/>
      <c r="MTT254" s="66"/>
      <c r="MTU254" s="66"/>
      <c r="MTV254" s="66"/>
      <c r="MTW254" s="66"/>
      <c r="MTX254" s="66"/>
      <c r="MTY254" s="66"/>
      <c r="MTZ254" s="66"/>
      <c r="MUA254" s="66"/>
      <c r="MUB254" s="66"/>
      <c r="MUC254" s="66"/>
      <c r="MUD254" s="66"/>
      <c r="MUE254" s="66"/>
      <c r="MUF254" s="66"/>
      <c r="MUG254" s="66"/>
      <c r="MUH254" s="66"/>
      <c r="MUI254" s="66"/>
      <c r="MUJ254" s="66"/>
      <c r="MUK254" s="66"/>
      <c r="MUL254" s="66"/>
      <c r="MUM254" s="66"/>
      <c r="MUN254" s="66"/>
      <c r="MUO254" s="66"/>
      <c r="MUP254" s="66"/>
      <c r="MUQ254" s="66"/>
      <c r="MUR254" s="66"/>
      <c r="MUS254" s="66"/>
      <c r="MUT254" s="66"/>
      <c r="MUU254" s="66"/>
      <c r="MUV254" s="66"/>
      <c r="MUW254" s="66"/>
      <c r="MUX254" s="66"/>
      <c r="MUY254" s="66"/>
      <c r="MUZ254" s="66"/>
      <c r="MVA254" s="66"/>
      <c r="MVB254" s="66"/>
      <c r="MVC254" s="66"/>
      <c r="MVD254" s="66"/>
      <c r="MVE254" s="66"/>
      <c r="MVF254" s="66"/>
      <c r="MVG254" s="66"/>
      <c r="MVH254" s="66"/>
      <c r="MVI254" s="66"/>
      <c r="MVJ254" s="66"/>
      <c r="MVK254" s="66"/>
      <c r="MVL254" s="66"/>
      <c r="MVM254" s="66"/>
      <c r="MVN254" s="66"/>
      <c r="MVO254" s="66"/>
      <c r="MVP254" s="66"/>
      <c r="MVQ254" s="66"/>
      <c r="MVR254" s="66"/>
      <c r="MVS254" s="66"/>
      <c r="MVT254" s="66"/>
      <c r="MVU254" s="66"/>
      <c r="MVV254" s="66"/>
      <c r="MVW254" s="66"/>
      <c r="MVX254" s="66"/>
      <c r="MVY254" s="66"/>
      <c r="MVZ254" s="66"/>
      <c r="MWA254" s="66"/>
      <c r="MWB254" s="66"/>
      <c r="MWC254" s="66"/>
      <c r="MWD254" s="66"/>
      <c r="MWE254" s="66"/>
      <c r="MWF254" s="66"/>
      <c r="MWG254" s="66"/>
      <c r="MWH254" s="66"/>
      <c r="MWI254" s="66"/>
      <c r="MWJ254" s="66"/>
      <c r="MWK254" s="66"/>
      <c r="MWL254" s="66"/>
      <c r="MWM254" s="66"/>
      <c r="MWN254" s="66"/>
      <c r="MWO254" s="66"/>
      <c r="MWP254" s="66"/>
      <c r="MWQ254" s="66"/>
      <c r="MWR254" s="66"/>
      <c r="MWS254" s="66"/>
      <c r="MWT254" s="66"/>
      <c r="MWU254" s="66"/>
      <c r="MWV254" s="66"/>
      <c r="MWW254" s="66"/>
      <c r="MWX254" s="66"/>
      <c r="MWY254" s="66"/>
      <c r="MWZ254" s="66"/>
      <c r="MXA254" s="66"/>
      <c r="MXB254" s="66"/>
      <c r="MXC254" s="66"/>
      <c r="MXD254" s="66"/>
      <c r="MXE254" s="66"/>
      <c r="MXF254" s="66"/>
      <c r="MXG254" s="66"/>
      <c r="MXH254" s="66"/>
      <c r="MXI254" s="66"/>
      <c r="MXJ254" s="66"/>
      <c r="MXK254" s="66"/>
      <c r="MXL254" s="66"/>
      <c r="MXM254" s="66"/>
      <c r="MXN254" s="66"/>
      <c r="MXO254" s="66"/>
      <c r="MXP254" s="66"/>
      <c r="MXQ254" s="66"/>
      <c r="MXR254" s="66"/>
      <c r="MXS254" s="66"/>
      <c r="MXT254" s="66"/>
      <c r="MXU254" s="66"/>
      <c r="MXV254" s="66"/>
      <c r="MXW254" s="66"/>
      <c r="MXX254" s="66"/>
      <c r="MXY254" s="66"/>
      <c r="MXZ254" s="66"/>
      <c r="MYA254" s="66"/>
      <c r="MYB254" s="66"/>
      <c r="MYC254" s="66"/>
      <c r="MYD254" s="66"/>
      <c r="MYE254" s="66"/>
      <c r="MYF254" s="66"/>
      <c r="MYG254" s="66"/>
      <c r="MYH254" s="66"/>
      <c r="MYI254" s="66"/>
      <c r="MYJ254" s="66"/>
      <c r="MYK254" s="66"/>
      <c r="MYL254" s="66"/>
      <c r="MYM254" s="66"/>
      <c r="MYN254" s="66"/>
      <c r="MYO254" s="66"/>
      <c r="MYP254" s="66"/>
      <c r="MYQ254" s="66"/>
      <c r="MYR254" s="66"/>
      <c r="MYS254" s="66"/>
      <c r="MYT254" s="66"/>
      <c r="MYU254" s="66"/>
      <c r="MYV254" s="66"/>
      <c r="MYW254" s="66"/>
      <c r="MYX254" s="66"/>
      <c r="MYY254" s="66"/>
      <c r="MYZ254" s="66"/>
      <c r="MZA254" s="66"/>
      <c r="MZB254" s="66"/>
      <c r="MZC254" s="66"/>
      <c r="MZD254" s="66"/>
      <c r="MZE254" s="66"/>
      <c r="MZF254" s="66"/>
      <c r="MZG254" s="66"/>
      <c r="MZH254" s="66"/>
      <c r="MZI254" s="66"/>
      <c r="MZJ254" s="66"/>
      <c r="MZK254" s="66"/>
      <c r="MZL254" s="66"/>
      <c r="MZM254" s="66"/>
      <c r="MZN254" s="66"/>
      <c r="MZO254" s="66"/>
      <c r="MZP254" s="66"/>
      <c r="MZQ254" s="66"/>
      <c r="MZR254" s="66"/>
      <c r="MZS254" s="66"/>
      <c r="MZT254" s="66"/>
      <c r="MZU254" s="66"/>
      <c r="MZV254" s="66"/>
      <c r="MZW254" s="66"/>
      <c r="MZX254" s="66"/>
      <c r="MZY254" s="66"/>
      <c r="MZZ254" s="66"/>
      <c r="NAA254" s="66"/>
      <c r="NAB254" s="66"/>
      <c r="NAC254" s="66"/>
      <c r="NAD254" s="66"/>
      <c r="NAE254" s="66"/>
      <c r="NAF254" s="66"/>
      <c r="NAG254" s="66"/>
      <c r="NAH254" s="66"/>
      <c r="NAI254" s="66"/>
      <c r="NAJ254" s="66"/>
      <c r="NAK254" s="66"/>
      <c r="NAL254" s="66"/>
      <c r="NAM254" s="66"/>
      <c r="NAN254" s="66"/>
      <c r="NAO254" s="66"/>
      <c r="NAP254" s="66"/>
      <c r="NAQ254" s="66"/>
      <c r="NAR254" s="66"/>
      <c r="NAS254" s="66"/>
      <c r="NAT254" s="66"/>
      <c r="NAU254" s="66"/>
      <c r="NAV254" s="66"/>
      <c r="NAW254" s="66"/>
      <c r="NAX254" s="66"/>
      <c r="NAY254" s="66"/>
      <c r="NAZ254" s="66"/>
      <c r="NBA254" s="66"/>
      <c r="NBB254" s="66"/>
      <c r="NBC254" s="66"/>
      <c r="NBD254" s="66"/>
      <c r="NBE254" s="66"/>
      <c r="NBF254" s="66"/>
      <c r="NBG254" s="66"/>
      <c r="NBH254" s="66"/>
      <c r="NBI254" s="66"/>
      <c r="NBJ254" s="66"/>
      <c r="NBK254" s="66"/>
      <c r="NBL254" s="66"/>
      <c r="NBM254" s="66"/>
      <c r="NBN254" s="66"/>
      <c r="NBO254" s="66"/>
      <c r="NBP254" s="66"/>
      <c r="NBQ254" s="66"/>
      <c r="NBR254" s="66"/>
      <c r="NBS254" s="66"/>
      <c r="NBT254" s="66"/>
      <c r="NBU254" s="66"/>
      <c r="NBV254" s="66"/>
      <c r="NBW254" s="66"/>
      <c r="NBX254" s="66"/>
      <c r="NBY254" s="66"/>
      <c r="NBZ254" s="66"/>
      <c r="NCA254" s="66"/>
      <c r="NCB254" s="66"/>
      <c r="NCC254" s="66"/>
      <c r="NCD254" s="66"/>
      <c r="NCE254" s="66"/>
      <c r="NCF254" s="66"/>
      <c r="NCG254" s="66"/>
      <c r="NCH254" s="66"/>
      <c r="NCI254" s="66"/>
      <c r="NCJ254" s="66"/>
      <c r="NCK254" s="66"/>
      <c r="NCL254" s="66"/>
      <c r="NCM254" s="66"/>
      <c r="NCN254" s="66"/>
      <c r="NCO254" s="66"/>
      <c r="NCP254" s="66"/>
      <c r="NCQ254" s="66"/>
      <c r="NCR254" s="66"/>
      <c r="NCS254" s="66"/>
      <c r="NCT254" s="66"/>
      <c r="NCU254" s="66"/>
      <c r="NCV254" s="66"/>
      <c r="NCW254" s="66"/>
      <c r="NCX254" s="66"/>
      <c r="NCY254" s="66"/>
      <c r="NCZ254" s="66"/>
      <c r="NDA254" s="66"/>
      <c r="NDB254" s="66"/>
      <c r="NDC254" s="66"/>
      <c r="NDD254" s="66"/>
      <c r="NDE254" s="66"/>
      <c r="NDF254" s="66"/>
      <c r="NDG254" s="66"/>
      <c r="NDH254" s="66"/>
      <c r="NDI254" s="66"/>
      <c r="NDJ254" s="66"/>
      <c r="NDK254" s="66"/>
      <c r="NDL254" s="66"/>
      <c r="NDM254" s="66"/>
      <c r="NDN254" s="66"/>
      <c r="NDO254" s="66"/>
      <c r="NDP254" s="66"/>
      <c r="NDQ254" s="66"/>
      <c r="NDR254" s="66"/>
      <c r="NDS254" s="66"/>
      <c r="NDT254" s="66"/>
      <c r="NDU254" s="66"/>
      <c r="NDV254" s="66"/>
      <c r="NDW254" s="66"/>
      <c r="NDX254" s="66"/>
      <c r="NDY254" s="66"/>
      <c r="NDZ254" s="66"/>
      <c r="NEA254" s="66"/>
      <c r="NEB254" s="66"/>
      <c r="NEC254" s="66"/>
      <c r="NED254" s="66"/>
      <c r="NEE254" s="66"/>
      <c r="NEF254" s="66"/>
      <c r="NEG254" s="66"/>
      <c r="NEH254" s="66"/>
      <c r="NEI254" s="66"/>
      <c r="NEJ254" s="66"/>
      <c r="NEK254" s="66"/>
      <c r="NEL254" s="66"/>
      <c r="NEM254" s="66"/>
      <c r="NEN254" s="66"/>
      <c r="NEO254" s="66"/>
      <c r="NEP254" s="66"/>
      <c r="NEQ254" s="66"/>
      <c r="NER254" s="66"/>
      <c r="NES254" s="66"/>
      <c r="NET254" s="66"/>
      <c r="NEU254" s="66"/>
      <c r="NEV254" s="66"/>
      <c r="NEW254" s="66"/>
      <c r="NEX254" s="66"/>
      <c r="NEY254" s="66"/>
      <c r="NEZ254" s="66"/>
      <c r="NFA254" s="66"/>
      <c r="NFB254" s="66"/>
      <c r="NFC254" s="66"/>
      <c r="NFD254" s="66"/>
      <c r="NFE254" s="66"/>
      <c r="NFF254" s="66"/>
      <c r="NFG254" s="66"/>
      <c r="NFH254" s="66"/>
      <c r="NFI254" s="66"/>
      <c r="NFJ254" s="66"/>
      <c r="NFK254" s="66"/>
      <c r="NFL254" s="66"/>
      <c r="NFM254" s="66"/>
      <c r="NFN254" s="66"/>
      <c r="NFO254" s="66"/>
      <c r="NFP254" s="66"/>
      <c r="NFQ254" s="66"/>
      <c r="NFR254" s="66"/>
      <c r="NFS254" s="66"/>
      <c r="NFT254" s="66"/>
      <c r="NFU254" s="66"/>
      <c r="NFV254" s="66"/>
      <c r="NFW254" s="66"/>
      <c r="NFX254" s="66"/>
      <c r="NFY254" s="66"/>
      <c r="NFZ254" s="66"/>
      <c r="NGA254" s="66"/>
      <c r="NGB254" s="66"/>
      <c r="NGC254" s="66"/>
      <c r="NGD254" s="66"/>
      <c r="NGE254" s="66"/>
      <c r="NGF254" s="66"/>
      <c r="NGG254" s="66"/>
      <c r="NGH254" s="66"/>
      <c r="NGI254" s="66"/>
      <c r="NGJ254" s="66"/>
      <c r="NGK254" s="66"/>
      <c r="NGL254" s="66"/>
      <c r="NGM254" s="66"/>
      <c r="NGN254" s="66"/>
      <c r="NGO254" s="66"/>
      <c r="NGP254" s="66"/>
      <c r="NGQ254" s="66"/>
      <c r="NGR254" s="66"/>
      <c r="NGS254" s="66"/>
      <c r="NGT254" s="66"/>
      <c r="NGU254" s="66"/>
      <c r="NGV254" s="66"/>
      <c r="NGW254" s="66"/>
      <c r="NGX254" s="66"/>
      <c r="NGY254" s="66"/>
      <c r="NGZ254" s="66"/>
      <c r="NHA254" s="66"/>
      <c r="NHB254" s="66"/>
      <c r="NHC254" s="66"/>
      <c r="NHD254" s="66"/>
      <c r="NHE254" s="66"/>
      <c r="NHF254" s="66"/>
      <c r="NHG254" s="66"/>
      <c r="NHH254" s="66"/>
      <c r="NHI254" s="66"/>
      <c r="NHJ254" s="66"/>
      <c r="NHK254" s="66"/>
      <c r="NHL254" s="66"/>
      <c r="NHM254" s="66"/>
      <c r="NHN254" s="66"/>
      <c r="NHO254" s="66"/>
      <c r="NHP254" s="66"/>
      <c r="NHQ254" s="66"/>
      <c r="NHR254" s="66"/>
      <c r="NHS254" s="66"/>
      <c r="NHT254" s="66"/>
      <c r="NHU254" s="66"/>
      <c r="NHV254" s="66"/>
      <c r="NHW254" s="66"/>
      <c r="NHX254" s="66"/>
      <c r="NHY254" s="66"/>
      <c r="NHZ254" s="66"/>
      <c r="NIA254" s="66"/>
      <c r="NIB254" s="66"/>
      <c r="NIC254" s="66"/>
      <c r="NID254" s="66"/>
      <c r="NIE254" s="66"/>
      <c r="NIF254" s="66"/>
      <c r="NIG254" s="66"/>
      <c r="NIH254" s="66"/>
      <c r="NII254" s="66"/>
      <c r="NIJ254" s="66"/>
      <c r="NIK254" s="66"/>
      <c r="NIL254" s="66"/>
      <c r="NIM254" s="66"/>
      <c r="NIN254" s="66"/>
      <c r="NIO254" s="66"/>
      <c r="NIP254" s="66"/>
      <c r="NIQ254" s="66"/>
      <c r="NIR254" s="66"/>
      <c r="NIS254" s="66"/>
      <c r="NIT254" s="66"/>
      <c r="NIU254" s="66"/>
      <c r="NIV254" s="66"/>
      <c r="NIW254" s="66"/>
      <c r="NIX254" s="66"/>
      <c r="NIY254" s="66"/>
      <c r="NIZ254" s="66"/>
      <c r="NJA254" s="66"/>
      <c r="NJB254" s="66"/>
      <c r="NJC254" s="66"/>
      <c r="NJD254" s="66"/>
      <c r="NJE254" s="66"/>
      <c r="NJF254" s="66"/>
      <c r="NJG254" s="66"/>
      <c r="NJH254" s="66"/>
      <c r="NJI254" s="66"/>
      <c r="NJJ254" s="66"/>
      <c r="NJK254" s="66"/>
      <c r="NJL254" s="66"/>
      <c r="NJM254" s="66"/>
      <c r="NJN254" s="66"/>
      <c r="NJO254" s="66"/>
      <c r="NJP254" s="66"/>
      <c r="NJQ254" s="66"/>
      <c r="NJR254" s="66"/>
      <c r="NJS254" s="66"/>
      <c r="NJT254" s="66"/>
      <c r="NJU254" s="66"/>
      <c r="NJV254" s="66"/>
      <c r="NJW254" s="66"/>
      <c r="NJX254" s="66"/>
      <c r="NJY254" s="66"/>
      <c r="NJZ254" s="66"/>
      <c r="NKA254" s="66"/>
      <c r="NKB254" s="66"/>
      <c r="NKC254" s="66"/>
      <c r="NKD254" s="66"/>
      <c r="NKE254" s="66"/>
      <c r="NKF254" s="66"/>
      <c r="NKG254" s="66"/>
      <c r="NKH254" s="66"/>
      <c r="NKI254" s="66"/>
      <c r="NKJ254" s="66"/>
      <c r="NKK254" s="66"/>
      <c r="NKL254" s="66"/>
      <c r="NKM254" s="66"/>
      <c r="NKN254" s="66"/>
      <c r="NKO254" s="66"/>
      <c r="NKP254" s="66"/>
      <c r="NKQ254" s="66"/>
      <c r="NKR254" s="66"/>
      <c r="NKS254" s="66"/>
      <c r="NKT254" s="66"/>
      <c r="NKU254" s="66"/>
      <c r="NKV254" s="66"/>
      <c r="NKW254" s="66"/>
      <c r="NKX254" s="66"/>
      <c r="NKY254" s="66"/>
      <c r="NKZ254" s="66"/>
      <c r="NLA254" s="66"/>
      <c r="NLB254" s="66"/>
      <c r="NLC254" s="66"/>
      <c r="NLD254" s="66"/>
      <c r="NLE254" s="66"/>
      <c r="NLF254" s="66"/>
      <c r="NLG254" s="66"/>
      <c r="NLH254" s="66"/>
      <c r="NLI254" s="66"/>
      <c r="NLJ254" s="66"/>
      <c r="NLK254" s="66"/>
      <c r="NLL254" s="66"/>
      <c r="NLM254" s="66"/>
      <c r="NLN254" s="66"/>
      <c r="NLO254" s="66"/>
      <c r="NLP254" s="66"/>
      <c r="NLQ254" s="66"/>
      <c r="NLR254" s="66"/>
      <c r="NLS254" s="66"/>
      <c r="NLT254" s="66"/>
      <c r="NLU254" s="66"/>
      <c r="NLV254" s="66"/>
      <c r="NLW254" s="66"/>
      <c r="NLX254" s="66"/>
      <c r="NLY254" s="66"/>
      <c r="NLZ254" s="66"/>
      <c r="NMA254" s="66"/>
      <c r="NMB254" s="66"/>
      <c r="NMC254" s="66"/>
      <c r="NMD254" s="66"/>
      <c r="NME254" s="66"/>
      <c r="NMF254" s="66"/>
      <c r="NMG254" s="66"/>
      <c r="NMH254" s="66"/>
      <c r="NMI254" s="66"/>
      <c r="NMJ254" s="66"/>
      <c r="NMK254" s="66"/>
      <c r="NML254" s="66"/>
      <c r="NMM254" s="66"/>
      <c r="NMN254" s="66"/>
      <c r="NMO254" s="66"/>
      <c r="NMP254" s="66"/>
      <c r="NMQ254" s="66"/>
      <c r="NMR254" s="66"/>
      <c r="NMS254" s="66"/>
      <c r="NMT254" s="66"/>
      <c r="NMU254" s="66"/>
      <c r="NMV254" s="66"/>
      <c r="NMW254" s="66"/>
      <c r="NMX254" s="66"/>
      <c r="NMY254" s="66"/>
      <c r="NMZ254" s="66"/>
      <c r="NNA254" s="66"/>
      <c r="NNB254" s="66"/>
      <c r="NNC254" s="66"/>
      <c r="NND254" s="66"/>
      <c r="NNE254" s="66"/>
      <c r="NNF254" s="66"/>
      <c r="NNG254" s="66"/>
      <c r="NNH254" s="66"/>
      <c r="NNI254" s="66"/>
      <c r="NNJ254" s="66"/>
      <c r="NNK254" s="66"/>
      <c r="NNL254" s="66"/>
      <c r="NNM254" s="66"/>
      <c r="NNN254" s="66"/>
      <c r="NNO254" s="66"/>
      <c r="NNP254" s="66"/>
      <c r="NNQ254" s="66"/>
      <c r="NNR254" s="66"/>
      <c r="NNS254" s="66"/>
      <c r="NNT254" s="66"/>
      <c r="NNU254" s="66"/>
      <c r="NNV254" s="66"/>
      <c r="NNW254" s="66"/>
      <c r="NNX254" s="66"/>
      <c r="NNY254" s="66"/>
      <c r="NNZ254" s="66"/>
      <c r="NOA254" s="66"/>
      <c r="NOB254" s="66"/>
      <c r="NOC254" s="66"/>
      <c r="NOD254" s="66"/>
      <c r="NOE254" s="66"/>
      <c r="NOF254" s="66"/>
      <c r="NOG254" s="66"/>
      <c r="NOH254" s="66"/>
      <c r="NOI254" s="66"/>
      <c r="NOJ254" s="66"/>
      <c r="NOK254" s="66"/>
      <c r="NOL254" s="66"/>
      <c r="NOM254" s="66"/>
      <c r="NON254" s="66"/>
      <c r="NOO254" s="66"/>
      <c r="NOP254" s="66"/>
      <c r="NOQ254" s="66"/>
      <c r="NOR254" s="66"/>
      <c r="NOS254" s="66"/>
      <c r="NOT254" s="66"/>
      <c r="NOU254" s="66"/>
      <c r="NOV254" s="66"/>
      <c r="NOW254" s="66"/>
      <c r="NOX254" s="66"/>
      <c r="NOY254" s="66"/>
      <c r="NOZ254" s="66"/>
      <c r="NPA254" s="66"/>
      <c r="NPB254" s="66"/>
      <c r="NPC254" s="66"/>
      <c r="NPD254" s="66"/>
      <c r="NPE254" s="66"/>
      <c r="NPF254" s="66"/>
      <c r="NPG254" s="66"/>
      <c r="NPH254" s="66"/>
      <c r="NPI254" s="66"/>
      <c r="NPJ254" s="66"/>
      <c r="NPK254" s="66"/>
      <c r="NPL254" s="66"/>
      <c r="NPM254" s="66"/>
      <c r="NPN254" s="66"/>
      <c r="NPO254" s="66"/>
      <c r="NPP254" s="66"/>
      <c r="NPQ254" s="66"/>
      <c r="NPR254" s="66"/>
      <c r="NPS254" s="66"/>
      <c r="NPT254" s="66"/>
      <c r="NPU254" s="66"/>
      <c r="NPV254" s="66"/>
      <c r="NPW254" s="66"/>
      <c r="NPX254" s="66"/>
      <c r="NPY254" s="66"/>
      <c r="NPZ254" s="66"/>
      <c r="NQA254" s="66"/>
      <c r="NQB254" s="66"/>
      <c r="NQC254" s="66"/>
      <c r="NQD254" s="66"/>
      <c r="NQE254" s="66"/>
      <c r="NQF254" s="66"/>
      <c r="NQG254" s="66"/>
      <c r="NQH254" s="66"/>
      <c r="NQI254" s="66"/>
      <c r="NQJ254" s="66"/>
      <c r="NQK254" s="66"/>
      <c r="NQL254" s="66"/>
      <c r="NQM254" s="66"/>
      <c r="NQN254" s="66"/>
      <c r="NQO254" s="66"/>
      <c r="NQP254" s="66"/>
      <c r="NQQ254" s="66"/>
      <c r="NQR254" s="66"/>
      <c r="NQS254" s="66"/>
      <c r="NQT254" s="66"/>
      <c r="NQU254" s="66"/>
      <c r="NQV254" s="66"/>
      <c r="NQW254" s="66"/>
      <c r="NQX254" s="66"/>
      <c r="NQY254" s="66"/>
      <c r="NQZ254" s="66"/>
      <c r="NRA254" s="66"/>
      <c r="NRB254" s="66"/>
      <c r="NRC254" s="66"/>
      <c r="NRD254" s="66"/>
      <c r="NRE254" s="66"/>
      <c r="NRF254" s="66"/>
      <c r="NRG254" s="66"/>
      <c r="NRH254" s="66"/>
      <c r="NRI254" s="66"/>
      <c r="NRJ254" s="66"/>
      <c r="NRK254" s="66"/>
      <c r="NRL254" s="66"/>
      <c r="NRM254" s="66"/>
      <c r="NRN254" s="66"/>
      <c r="NRO254" s="66"/>
      <c r="NRP254" s="66"/>
      <c r="NRQ254" s="66"/>
      <c r="NRR254" s="66"/>
      <c r="NRS254" s="66"/>
      <c r="NRT254" s="66"/>
      <c r="NRU254" s="66"/>
      <c r="NRV254" s="66"/>
      <c r="NRW254" s="66"/>
      <c r="NRX254" s="66"/>
      <c r="NRY254" s="66"/>
      <c r="NRZ254" s="66"/>
      <c r="NSA254" s="66"/>
      <c r="NSB254" s="66"/>
      <c r="NSC254" s="66"/>
      <c r="NSD254" s="66"/>
      <c r="NSE254" s="66"/>
      <c r="NSF254" s="66"/>
      <c r="NSG254" s="66"/>
      <c r="NSH254" s="66"/>
      <c r="NSI254" s="66"/>
      <c r="NSJ254" s="66"/>
      <c r="NSK254" s="66"/>
      <c r="NSL254" s="66"/>
      <c r="NSM254" s="66"/>
      <c r="NSN254" s="66"/>
      <c r="NSO254" s="66"/>
      <c r="NSP254" s="66"/>
      <c r="NSQ254" s="66"/>
      <c r="NSR254" s="66"/>
      <c r="NSS254" s="66"/>
      <c r="NST254" s="66"/>
      <c r="NSU254" s="66"/>
      <c r="NSV254" s="66"/>
      <c r="NSW254" s="66"/>
      <c r="NSX254" s="66"/>
      <c r="NSY254" s="66"/>
      <c r="NSZ254" s="66"/>
      <c r="NTA254" s="66"/>
      <c r="NTB254" s="66"/>
      <c r="NTC254" s="66"/>
      <c r="NTD254" s="66"/>
      <c r="NTE254" s="66"/>
      <c r="NTF254" s="66"/>
      <c r="NTG254" s="66"/>
      <c r="NTH254" s="66"/>
      <c r="NTI254" s="66"/>
      <c r="NTJ254" s="66"/>
      <c r="NTK254" s="66"/>
      <c r="NTL254" s="66"/>
      <c r="NTM254" s="66"/>
      <c r="NTN254" s="66"/>
      <c r="NTO254" s="66"/>
      <c r="NTP254" s="66"/>
      <c r="NTQ254" s="66"/>
      <c r="NTR254" s="66"/>
      <c r="NTS254" s="66"/>
      <c r="NTT254" s="66"/>
      <c r="NTU254" s="66"/>
      <c r="NTV254" s="66"/>
      <c r="NTW254" s="66"/>
      <c r="NTX254" s="66"/>
      <c r="NTY254" s="66"/>
      <c r="NTZ254" s="66"/>
      <c r="NUA254" s="66"/>
      <c r="NUB254" s="66"/>
      <c r="NUC254" s="66"/>
      <c r="NUD254" s="66"/>
      <c r="NUE254" s="66"/>
      <c r="NUF254" s="66"/>
      <c r="NUG254" s="66"/>
      <c r="NUH254" s="66"/>
      <c r="NUI254" s="66"/>
      <c r="NUJ254" s="66"/>
      <c r="NUK254" s="66"/>
      <c r="NUL254" s="66"/>
      <c r="NUM254" s="66"/>
      <c r="NUN254" s="66"/>
      <c r="NUO254" s="66"/>
      <c r="NUP254" s="66"/>
      <c r="NUQ254" s="66"/>
      <c r="NUR254" s="66"/>
      <c r="NUS254" s="66"/>
      <c r="NUT254" s="66"/>
      <c r="NUU254" s="66"/>
      <c r="NUV254" s="66"/>
      <c r="NUW254" s="66"/>
      <c r="NUX254" s="66"/>
      <c r="NUY254" s="66"/>
      <c r="NUZ254" s="66"/>
      <c r="NVA254" s="66"/>
      <c r="NVB254" s="66"/>
      <c r="NVC254" s="66"/>
      <c r="NVD254" s="66"/>
      <c r="NVE254" s="66"/>
      <c r="NVF254" s="66"/>
      <c r="NVG254" s="66"/>
      <c r="NVH254" s="66"/>
      <c r="NVI254" s="66"/>
      <c r="NVJ254" s="66"/>
      <c r="NVK254" s="66"/>
      <c r="NVL254" s="66"/>
      <c r="NVM254" s="66"/>
      <c r="NVN254" s="66"/>
      <c r="NVO254" s="66"/>
      <c r="NVP254" s="66"/>
      <c r="NVQ254" s="66"/>
      <c r="NVR254" s="66"/>
      <c r="NVS254" s="66"/>
      <c r="NVT254" s="66"/>
      <c r="NVU254" s="66"/>
      <c r="NVV254" s="66"/>
      <c r="NVW254" s="66"/>
      <c r="NVX254" s="66"/>
      <c r="NVY254" s="66"/>
      <c r="NVZ254" s="66"/>
      <c r="NWA254" s="66"/>
      <c r="NWB254" s="66"/>
      <c r="NWC254" s="66"/>
      <c r="NWD254" s="66"/>
      <c r="NWE254" s="66"/>
      <c r="NWF254" s="66"/>
      <c r="NWG254" s="66"/>
      <c r="NWH254" s="66"/>
      <c r="NWI254" s="66"/>
      <c r="NWJ254" s="66"/>
      <c r="NWK254" s="66"/>
      <c r="NWL254" s="66"/>
      <c r="NWM254" s="66"/>
      <c r="NWN254" s="66"/>
      <c r="NWO254" s="66"/>
      <c r="NWP254" s="66"/>
      <c r="NWQ254" s="66"/>
      <c r="NWR254" s="66"/>
      <c r="NWS254" s="66"/>
      <c r="NWT254" s="66"/>
      <c r="NWU254" s="66"/>
      <c r="NWV254" s="66"/>
      <c r="NWW254" s="66"/>
      <c r="NWX254" s="66"/>
      <c r="NWY254" s="66"/>
      <c r="NWZ254" s="66"/>
      <c r="NXA254" s="66"/>
      <c r="NXB254" s="66"/>
      <c r="NXC254" s="66"/>
      <c r="NXD254" s="66"/>
      <c r="NXE254" s="66"/>
      <c r="NXF254" s="66"/>
      <c r="NXG254" s="66"/>
      <c r="NXH254" s="66"/>
      <c r="NXI254" s="66"/>
      <c r="NXJ254" s="66"/>
      <c r="NXK254" s="66"/>
      <c r="NXL254" s="66"/>
      <c r="NXM254" s="66"/>
      <c r="NXN254" s="66"/>
      <c r="NXO254" s="66"/>
      <c r="NXP254" s="66"/>
      <c r="NXQ254" s="66"/>
      <c r="NXR254" s="66"/>
      <c r="NXS254" s="66"/>
      <c r="NXT254" s="66"/>
      <c r="NXU254" s="66"/>
      <c r="NXV254" s="66"/>
      <c r="NXW254" s="66"/>
      <c r="NXX254" s="66"/>
      <c r="NXY254" s="66"/>
      <c r="NXZ254" s="66"/>
      <c r="NYA254" s="66"/>
      <c r="NYB254" s="66"/>
      <c r="NYC254" s="66"/>
      <c r="NYD254" s="66"/>
      <c r="NYE254" s="66"/>
      <c r="NYF254" s="66"/>
      <c r="NYG254" s="66"/>
      <c r="NYH254" s="66"/>
      <c r="NYI254" s="66"/>
      <c r="NYJ254" s="66"/>
      <c r="NYK254" s="66"/>
      <c r="NYL254" s="66"/>
      <c r="NYM254" s="66"/>
      <c r="NYN254" s="66"/>
      <c r="NYO254" s="66"/>
      <c r="NYP254" s="66"/>
      <c r="NYQ254" s="66"/>
      <c r="NYR254" s="66"/>
      <c r="NYS254" s="66"/>
      <c r="NYT254" s="66"/>
      <c r="NYU254" s="66"/>
      <c r="NYV254" s="66"/>
      <c r="NYW254" s="66"/>
      <c r="NYX254" s="66"/>
      <c r="NYY254" s="66"/>
      <c r="NYZ254" s="66"/>
      <c r="NZA254" s="66"/>
      <c r="NZB254" s="66"/>
      <c r="NZC254" s="66"/>
      <c r="NZD254" s="66"/>
      <c r="NZE254" s="66"/>
      <c r="NZF254" s="66"/>
      <c r="NZG254" s="66"/>
      <c r="NZH254" s="66"/>
      <c r="NZI254" s="66"/>
      <c r="NZJ254" s="66"/>
      <c r="NZK254" s="66"/>
      <c r="NZL254" s="66"/>
      <c r="NZM254" s="66"/>
      <c r="NZN254" s="66"/>
      <c r="NZO254" s="66"/>
      <c r="NZP254" s="66"/>
      <c r="NZQ254" s="66"/>
      <c r="NZR254" s="66"/>
      <c r="NZS254" s="66"/>
      <c r="NZT254" s="66"/>
      <c r="NZU254" s="66"/>
      <c r="NZV254" s="66"/>
      <c r="NZW254" s="66"/>
      <c r="NZX254" s="66"/>
      <c r="NZY254" s="66"/>
      <c r="NZZ254" s="66"/>
      <c r="OAA254" s="66"/>
      <c r="OAB254" s="66"/>
      <c r="OAC254" s="66"/>
      <c r="OAD254" s="66"/>
      <c r="OAE254" s="66"/>
      <c r="OAF254" s="66"/>
      <c r="OAG254" s="66"/>
      <c r="OAH254" s="66"/>
      <c r="OAI254" s="66"/>
      <c r="OAJ254" s="66"/>
      <c r="OAK254" s="66"/>
      <c r="OAL254" s="66"/>
      <c r="OAM254" s="66"/>
      <c r="OAN254" s="66"/>
      <c r="OAO254" s="66"/>
      <c r="OAP254" s="66"/>
      <c r="OAQ254" s="66"/>
      <c r="OAR254" s="66"/>
      <c r="OAS254" s="66"/>
      <c r="OAT254" s="66"/>
      <c r="OAU254" s="66"/>
      <c r="OAV254" s="66"/>
      <c r="OAW254" s="66"/>
      <c r="OAX254" s="66"/>
      <c r="OAY254" s="66"/>
      <c r="OAZ254" s="66"/>
      <c r="OBA254" s="66"/>
      <c r="OBB254" s="66"/>
      <c r="OBC254" s="66"/>
      <c r="OBD254" s="66"/>
      <c r="OBE254" s="66"/>
      <c r="OBF254" s="66"/>
      <c r="OBG254" s="66"/>
      <c r="OBH254" s="66"/>
      <c r="OBI254" s="66"/>
      <c r="OBJ254" s="66"/>
      <c r="OBK254" s="66"/>
      <c r="OBL254" s="66"/>
      <c r="OBM254" s="66"/>
      <c r="OBN254" s="66"/>
      <c r="OBO254" s="66"/>
      <c r="OBP254" s="66"/>
      <c r="OBQ254" s="66"/>
      <c r="OBR254" s="66"/>
      <c r="OBS254" s="66"/>
      <c r="OBT254" s="66"/>
      <c r="OBU254" s="66"/>
      <c r="OBV254" s="66"/>
      <c r="OBW254" s="66"/>
      <c r="OBX254" s="66"/>
      <c r="OBY254" s="66"/>
      <c r="OBZ254" s="66"/>
      <c r="OCA254" s="66"/>
      <c r="OCB254" s="66"/>
      <c r="OCC254" s="66"/>
      <c r="OCD254" s="66"/>
      <c r="OCE254" s="66"/>
      <c r="OCF254" s="66"/>
      <c r="OCG254" s="66"/>
      <c r="OCH254" s="66"/>
      <c r="OCI254" s="66"/>
      <c r="OCJ254" s="66"/>
      <c r="OCK254" s="66"/>
      <c r="OCL254" s="66"/>
      <c r="OCM254" s="66"/>
      <c r="OCN254" s="66"/>
      <c r="OCO254" s="66"/>
      <c r="OCP254" s="66"/>
      <c r="OCQ254" s="66"/>
      <c r="OCR254" s="66"/>
      <c r="OCS254" s="66"/>
      <c r="OCT254" s="66"/>
      <c r="OCU254" s="66"/>
      <c r="OCV254" s="66"/>
      <c r="OCW254" s="66"/>
      <c r="OCX254" s="66"/>
      <c r="OCY254" s="66"/>
      <c r="OCZ254" s="66"/>
      <c r="ODA254" s="66"/>
      <c r="ODB254" s="66"/>
      <c r="ODC254" s="66"/>
      <c r="ODD254" s="66"/>
      <c r="ODE254" s="66"/>
      <c r="ODF254" s="66"/>
      <c r="ODG254" s="66"/>
      <c r="ODH254" s="66"/>
      <c r="ODI254" s="66"/>
      <c r="ODJ254" s="66"/>
      <c r="ODK254" s="66"/>
      <c r="ODL254" s="66"/>
      <c r="ODM254" s="66"/>
      <c r="ODN254" s="66"/>
      <c r="ODO254" s="66"/>
      <c r="ODP254" s="66"/>
      <c r="ODQ254" s="66"/>
      <c r="ODR254" s="66"/>
      <c r="ODS254" s="66"/>
      <c r="ODT254" s="66"/>
      <c r="ODU254" s="66"/>
      <c r="ODV254" s="66"/>
      <c r="ODW254" s="66"/>
      <c r="ODX254" s="66"/>
      <c r="ODY254" s="66"/>
      <c r="ODZ254" s="66"/>
      <c r="OEA254" s="66"/>
      <c r="OEB254" s="66"/>
      <c r="OEC254" s="66"/>
      <c r="OED254" s="66"/>
      <c r="OEE254" s="66"/>
      <c r="OEF254" s="66"/>
      <c r="OEG254" s="66"/>
      <c r="OEH254" s="66"/>
      <c r="OEI254" s="66"/>
      <c r="OEJ254" s="66"/>
      <c r="OEK254" s="66"/>
      <c r="OEL254" s="66"/>
      <c r="OEM254" s="66"/>
      <c r="OEN254" s="66"/>
      <c r="OEO254" s="66"/>
      <c r="OEP254" s="66"/>
      <c r="OEQ254" s="66"/>
      <c r="OER254" s="66"/>
      <c r="OES254" s="66"/>
      <c r="OET254" s="66"/>
      <c r="OEU254" s="66"/>
      <c r="OEV254" s="66"/>
      <c r="OEW254" s="66"/>
      <c r="OEX254" s="66"/>
      <c r="OEY254" s="66"/>
      <c r="OEZ254" s="66"/>
      <c r="OFA254" s="66"/>
      <c r="OFB254" s="66"/>
      <c r="OFC254" s="66"/>
      <c r="OFD254" s="66"/>
      <c r="OFE254" s="66"/>
      <c r="OFF254" s="66"/>
      <c r="OFG254" s="66"/>
      <c r="OFH254" s="66"/>
      <c r="OFI254" s="66"/>
      <c r="OFJ254" s="66"/>
      <c r="OFK254" s="66"/>
      <c r="OFL254" s="66"/>
      <c r="OFM254" s="66"/>
      <c r="OFN254" s="66"/>
      <c r="OFO254" s="66"/>
      <c r="OFP254" s="66"/>
      <c r="OFQ254" s="66"/>
      <c r="OFR254" s="66"/>
      <c r="OFS254" s="66"/>
      <c r="OFT254" s="66"/>
      <c r="OFU254" s="66"/>
      <c r="OFV254" s="66"/>
      <c r="OFW254" s="66"/>
      <c r="OFX254" s="66"/>
      <c r="OFY254" s="66"/>
      <c r="OFZ254" s="66"/>
      <c r="OGA254" s="66"/>
      <c r="OGB254" s="66"/>
      <c r="OGC254" s="66"/>
      <c r="OGD254" s="66"/>
      <c r="OGE254" s="66"/>
      <c r="OGF254" s="66"/>
      <c r="OGG254" s="66"/>
      <c r="OGH254" s="66"/>
      <c r="OGI254" s="66"/>
      <c r="OGJ254" s="66"/>
      <c r="OGK254" s="66"/>
      <c r="OGL254" s="66"/>
      <c r="OGM254" s="66"/>
      <c r="OGN254" s="66"/>
      <c r="OGO254" s="66"/>
      <c r="OGP254" s="66"/>
      <c r="OGQ254" s="66"/>
      <c r="OGR254" s="66"/>
      <c r="OGS254" s="66"/>
      <c r="OGT254" s="66"/>
      <c r="OGU254" s="66"/>
      <c r="OGV254" s="66"/>
      <c r="OGW254" s="66"/>
      <c r="OGX254" s="66"/>
      <c r="OGY254" s="66"/>
      <c r="OGZ254" s="66"/>
      <c r="OHA254" s="66"/>
      <c r="OHB254" s="66"/>
      <c r="OHC254" s="66"/>
      <c r="OHD254" s="66"/>
      <c r="OHE254" s="66"/>
      <c r="OHF254" s="66"/>
      <c r="OHG254" s="66"/>
      <c r="OHH254" s="66"/>
      <c r="OHI254" s="66"/>
      <c r="OHJ254" s="66"/>
      <c r="OHK254" s="66"/>
      <c r="OHL254" s="66"/>
      <c r="OHM254" s="66"/>
      <c r="OHN254" s="66"/>
      <c r="OHO254" s="66"/>
      <c r="OHP254" s="66"/>
      <c r="OHQ254" s="66"/>
      <c r="OHR254" s="66"/>
      <c r="OHS254" s="66"/>
      <c r="OHT254" s="66"/>
      <c r="OHU254" s="66"/>
      <c r="OHV254" s="66"/>
      <c r="OHW254" s="66"/>
      <c r="OHX254" s="66"/>
      <c r="OHY254" s="66"/>
      <c r="OHZ254" s="66"/>
      <c r="OIA254" s="66"/>
      <c r="OIB254" s="66"/>
      <c r="OIC254" s="66"/>
      <c r="OID254" s="66"/>
      <c r="OIE254" s="66"/>
      <c r="OIF254" s="66"/>
      <c r="OIG254" s="66"/>
      <c r="OIH254" s="66"/>
      <c r="OII254" s="66"/>
      <c r="OIJ254" s="66"/>
      <c r="OIK254" s="66"/>
      <c r="OIL254" s="66"/>
      <c r="OIM254" s="66"/>
      <c r="OIN254" s="66"/>
      <c r="OIO254" s="66"/>
      <c r="OIP254" s="66"/>
      <c r="OIQ254" s="66"/>
      <c r="OIR254" s="66"/>
      <c r="OIS254" s="66"/>
      <c r="OIT254" s="66"/>
      <c r="OIU254" s="66"/>
      <c r="OIV254" s="66"/>
      <c r="OIW254" s="66"/>
      <c r="OIX254" s="66"/>
      <c r="OIY254" s="66"/>
      <c r="OIZ254" s="66"/>
      <c r="OJA254" s="66"/>
      <c r="OJB254" s="66"/>
      <c r="OJC254" s="66"/>
      <c r="OJD254" s="66"/>
      <c r="OJE254" s="66"/>
      <c r="OJF254" s="66"/>
      <c r="OJG254" s="66"/>
      <c r="OJH254" s="66"/>
      <c r="OJI254" s="66"/>
      <c r="OJJ254" s="66"/>
      <c r="OJK254" s="66"/>
      <c r="OJL254" s="66"/>
      <c r="OJM254" s="66"/>
      <c r="OJN254" s="66"/>
      <c r="OJO254" s="66"/>
      <c r="OJP254" s="66"/>
      <c r="OJQ254" s="66"/>
      <c r="OJR254" s="66"/>
      <c r="OJS254" s="66"/>
      <c r="OJT254" s="66"/>
      <c r="OJU254" s="66"/>
      <c r="OJV254" s="66"/>
      <c r="OJW254" s="66"/>
      <c r="OJX254" s="66"/>
      <c r="OJY254" s="66"/>
      <c r="OJZ254" s="66"/>
      <c r="OKA254" s="66"/>
      <c r="OKB254" s="66"/>
      <c r="OKC254" s="66"/>
      <c r="OKD254" s="66"/>
      <c r="OKE254" s="66"/>
      <c r="OKF254" s="66"/>
      <c r="OKG254" s="66"/>
      <c r="OKH254" s="66"/>
      <c r="OKI254" s="66"/>
      <c r="OKJ254" s="66"/>
      <c r="OKK254" s="66"/>
      <c r="OKL254" s="66"/>
      <c r="OKM254" s="66"/>
      <c r="OKN254" s="66"/>
      <c r="OKO254" s="66"/>
      <c r="OKP254" s="66"/>
      <c r="OKQ254" s="66"/>
      <c r="OKR254" s="66"/>
      <c r="OKS254" s="66"/>
      <c r="OKT254" s="66"/>
      <c r="OKU254" s="66"/>
      <c r="OKV254" s="66"/>
      <c r="OKW254" s="66"/>
      <c r="OKX254" s="66"/>
      <c r="OKY254" s="66"/>
      <c r="OKZ254" s="66"/>
      <c r="OLA254" s="66"/>
      <c r="OLB254" s="66"/>
      <c r="OLC254" s="66"/>
      <c r="OLD254" s="66"/>
      <c r="OLE254" s="66"/>
      <c r="OLF254" s="66"/>
      <c r="OLG254" s="66"/>
      <c r="OLH254" s="66"/>
      <c r="OLI254" s="66"/>
      <c r="OLJ254" s="66"/>
      <c r="OLK254" s="66"/>
      <c r="OLL254" s="66"/>
      <c r="OLM254" s="66"/>
      <c r="OLN254" s="66"/>
      <c r="OLO254" s="66"/>
      <c r="OLP254" s="66"/>
      <c r="OLQ254" s="66"/>
      <c r="OLR254" s="66"/>
      <c r="OLS254" s="66"/>
      <c r="OLT254" s="66"/>
      <c r="OLU254" s="66"/>
      <c r="OLV254" s="66"/>
      <c r="OLW254" s="66"/>
      <c r="OLX254" s="66"/>
      <c r="OLY254" s="66"/>
      <c r="OLZ254" s="66"/>
      <c r="OMA254" s="66"/>
      <c r="OMB254" s="66"/>
      <c r="OMC254" s="66"/>
      <c r="OMD254" s="66"/>
      <c r="OME254" s="66"/>
      <c r="OMF254" s="66"/>
      <c r="OMG254" s="66"/>
      <c r="OMH254" s="66"/>
      <c r="OMI254" s="66"/>
      <c r="OMJ254" s="66"/>
      <c r="OMK254" s="66"/>
      <c r="OML254" s="66"/>
      <c r="OMM254" s="66"/>
      <c r="OMN254" s="66"/>
      <c r="OMO254" s="66"/>
      <c r="OMP254" s="66"/>
      <c r="OMQ254" s="66"/>
      <c r="OMR254" s="66"/>
      <c r="OMS254" s="66"/>
      <c r="OMT254" s="66"/>
      <c r="OMU254" s="66"/>
      <c r="OMV254" s="66"/>
      <c r="OMW254" s="66"/>
      <c r="OMX254" s="66"/>
      <c r="OMY254" s="66"/>
      <c r="OMZ254" s="66"/>
      <c r="ONA254" s="66"/>
      <c r="ONB254" s="66"/>
      <c r="ONC254" s="66"/>
      <c r="OND254" s="66"/>
      <c r="ONE254" s="66"/>
      <c r="ONF254" s="66"/>
      <c r="ONG254" s="66"/>
      <c r="ONH254" s="66"/>
      <c r="ONI254" s="66"/>
      <c r="ONJ254" s="66"/>
      <c r="ONK254" s="66"/>
      <c r="ONL254" s="66"/>
      <c r="ONM254" s="66"/>
      <c r="ONN254" s="66"/>
      <c r="ONO254" s="66"/>
      <c r="ONP254" s="66"/>
      <c r="ONQ254" s="66"/>
      <c r="ONR254" s="66"/>
      <c r="ONS254" s="66"/>
      <c r="ONT254" s="66"/>
      <c r="ONU254" s="66"/>
      <c r="ONV254" s="66"/>
      <c r="ONW254" s="66"/>
      <c r="ONX254" s="66"/>
      <c r="ONY254" s="66"/>
      <c r="ONZ254" s="66"/>
      <c r="OOA254" s="66"/>
      <c r="OOB254" s="66"/>
      <c r="OOC254" s="66"/>
      <c r="OOD254" s="66"/>
      <c r="OOE254" s="66"/>
      <c r="OOF254" s="66"/>
      <c r="OOG254" s="66"/>
      <c r="OOH254" s="66"/>
      <c r="OOI254" s="66"/>
      <c r="OOJ254" s="66"/>
      <c r="OOK254" s="66"/>
      <c r="OOL254" s="66"/>
      <c r="OOM254" s="66"/>
      <c r="OON254" s="66"/>
      <c r="OOO254" s="66"/>
      <c r="OOP254" s="66"/>
      <c r="OOQ254" s="66"/>
      <c r="OOR254" s="66"/>
      <c r="OOS254" s="66"/>
      <c r="OOT254" s="66"/>
      <c r="OOU254" s="66"/>
      <c r="OOV254" s="66"/>
      <c r="OOW254" s="66"/>
      <c r="OOX254" s="66"/>
      <c r="OOY254" s="66"/>
      <c r="OOZ254" s="66"/>
      <c r="OPA254" s="66"/>
      <c r="OPB254" s="66"/>
      <c r="OPC254" s="66"/>
      <c r="OPD254" s="66"/>
      <c r="OPE254" s="66"/>
      <c r="OPF254" s="66"/>
      <c r="OPG254" s="66"/>
      <c r="OPH254" s="66"/>
      <c r="OPI254" s="66"/>
      <c r="OPJ254" s="66"/>
      <c r="OPK254" s="66"/>
      <c r="OPL254" s="66"/>
      <c r="OPM254" s="66"/>
      <c r="OPN254" s="66"/>
      <c r="OPO254" s="66"/>
      <c r="OPP254" s="66"/>
      <c r="OPQ254" s="66"/>
      <c r="OPR254" s="66"/>
      <c r="OPS254" s="66"/>
      <c r="OPT254" s="66"/>
      <c r="OPU254" s="66"/>
      <c r="OPV254" s="66"/>
      <c r="OPW254" s="66"/>
      <c r="OPX254" s="66"/>
      <c r="OPY254" s="66"/>
      <c r="OPZ254" s="66"/>
      <c r="OQA254" s="66"/>
      <c r="OQB254" s="66"/>
      <c r="OQC254" s="66"/>
      <c r="OQD254" s="66"/>
      <c r="OQE254" s="66"/>
      <c r="OQF254" s="66"/>
      <c r="OQG254" s="66"/>
      <c r="OQH254" s="66"/>
      <c r="OQI254" s="66"/>
      <c r="OQJ254" s="66"/>
      <c r="OQK254" s="66"/>
      <c r="OQL254" s="66"/>
      <c r="OQM254" s="66"/>
      <c r="OQN254" s="66"/>
      <c r="OQO254" s="66"/>
      <c r="OQP254" s="66"/>
      <c r="OQQ254" s="66"/>
      <c r="OQR254" s="66"/>
      <c r="OQS254" s="66"/>
      <c r="OQT254" s="66"/>
      <c r="OQU254" s="66"/>
      <c r="OQV254" s="66"/>
      <c r="OQW254" s="66"/>
      <c r="OQX254" s="66"/>
      <c r="OQY254" s="66"/>
      <c r="OQZ254" s="66"/>
      <c r="ORA254" s="66"/>
      <c r="ORB254" s="66"/>
      <c r="ORC254" s="66"/>
      <c r="ORD254" s="66"/>
      <c r="ORE254" s="66"/>
      <c r="ORF254" s="66"/>
      <c r="ORG254" s="66"/>
      <c r="ORH254" s="66"/>
      <c r="ORI254" s="66"/>
      <c r="ORJ254" s="66"/>
      <c r="ORK254" s="66"/>
      <c r="ORL254" s="66"/>
      <c r="ORM254" s="66"/>
      <c r="ORN254" s="66"/>
      <c r="ORO254" s="66"/>
      <c r="ORP254" s="66"/>
      <c r="ORQ254" s="66"/>
      <c r="ORR254" s="66"/>
      <c r="ORS254" s="66"/>
      <c r="ORT254" s="66"/>
      <c r="ORU254" s="66"/>
      <c r="ORV254" s="66"/>
      <c r="ORW254" s="66"/>
      <c r="ORX254" s="66"/>
      <c r="ORY254" s="66"/>
      <c r="ORZ254" s="66"/>
      <c r="OSA254" s="66"/>
      <c r="OSB254" s="66"/>
      <c r="OSC254" s="66"/>
      <c r="OSD254" s="66"/>
      <c r="OSE254" s="66"/>
      <c r="OSF254" s="66"/>
      <c r="OSG254" s="66"/>
      <c r="OSH254" s="66"/>
      <c r="OSI254" s="66"/>
      <c r="OSJ254" s="66"/>
      <c r="OSK254" s="66"/>
      <c r="OSL254" s="66"/>
      <c r="OSM254" s="66"/>
      <c r="OSN254" s="66"/>
      <c r="OSO254" s="66"/>
      <c r="OSP254" s="66"/>
      <c r="OSQ254" s="66"/>
      <c r="OSR254" s="66"/>
      <c r="OSS254" s="66"/>
      <c r="OST254" s="66"/>
      <c r="OSU254" s="66"/>
      <c r="OSV254" s="66"/>
      <c r="OSW254" s="66"/>
      <c r="OSX254" s="66"/>
      <c r="OSY254" s="66"/>
      <c r="OSZ254" s="66"/>
      <c r="OTA254" s="66"/>
      <c r="OTB254" s="66"/>
      <c r="OTC254" s="66"/>
      <c r="OTD254" s="66"/>
      <c r="OTE254" s="66"/>
      <c r="OTF254" s="66"/>
      <c r="OTG254" s="66"/>
      <c r="OTH254" s="66"/>
      <c r="OTI254" s="66"/>
      <c r="OTJ254" s="66"/>
      <c r="OTK254" s="66"/>
      <c r="OTL254" s="66"/>
      <c r="OTM254" s="66"/>
      <c r="OTN254" s="66"/>
      <c r="OTO254" s="66"/>
      <c r="OTP254" s="66"/>
      <c r="OTQ254" s="66"/>
      <c r="OTR254" s="66"/>
      <c r="OTS254" s="66"/>
      <c r="OTT254" s="66"/>
      <c r="OTU254" s="66"/>
      <c r="OTV254" s="66"/>
      <c r="OTW254" s="66"/>
      <c r="OTX254" s="66"/>
      <c r="OTY254" s="66"/>
      <c r="OTZ254" s="66"/>
      <c r="OUA254" s="66"/>
      <c r="OUB254" s="66"/>
      <c r="OUC254" s="66"/>
      <c r="OUD254" s="66"/>
      <c r="OUE254" s="66"/>
      <c r="OUF254" s="66"/>
      <c r="OUG254" s="66"/>
      <c r="OUH254" s="66"/>
      <c r="OUI254" s="66"/>
      <c r="OUJ254" s="66"/>
      <c r="OUK254" s="66"/>
      <c r="OUL254" s="66"/>
      <c r="OUM254" s="66"/>
      <c r="OUN254" s="66"/>
      <c r="OUO254" s="66"/>
      <c r="OUP254" s="66"/>
      <c r="OUQ254" s="66"/>
      <c r="OUR254" s="66"/>
      <c r="OUS254" s="66"/>
      <c r="OUT254" s="66"/>
      <c r="OUU254" s="66"/>
      <c r="OUV254" s="66"/>
      <c r="OUW254" s="66"/>
      <c r="OUX254" s="66"/>
      <c r="OUY254" s="66"/>
      <c r="OUZ254" s="66"/>
      <c r="OVA254" s="66"/>
      <c r="OVB254" s="66"/>
      <c r="OVC254" s="66"/>
      <c r="OVD254" s="66"/>
      <c r="OVE254" s="66"/>
      <c r="OVF254" s="66"/>
      <c r="OVG254" s="66"/>
      <c r="OVH254" s="66"/>
      <c r="OVI254" s="66"/>
      <c r="OVJ254" s="66"/>
      <c r="OVK254" s="66"/>
      <c r="OVL254" s="66"/>
      <c r="OVM254" s="66"/>
      <c r="OVN254" s="66"/>
      <c r="OVO254" s="66"/>
      <c r="OVP254" s="66"/>
      <c r="OVQ254" s="66"/>
      <c r="OVR254" s="66"/>
      <c r="OVS254" s="66"/>
      <c r="OVT254" s="66"/>
      <c r="OVU254" s="66"/>
      <c r="OVV254" s="66"/>
      <c r="OVW254" s="66"/>
      <c r="OVX254" s="66"/>
      <c r="OVY254" s="66"/>
      <c r="OVZ254" s="66"/>
      <c r="OWA254" s="66"/>
      <c r="OWB254" s="66"/>
      <c r="OWC254" s="66"/>
      <c r="OWD254" s="66"/>
      <c r="OWE254" s="66"/>
      <c r="OWF254" s="66"/>
      <c r="OWG254" s="66"/>
      <c r="OWH254" s="66"/>
      <c r="OWI254" s="66"/>
      <c r="OWJ254" s="66"/>
      <c r="OWK254" s="66"/>
      <c r="OWL254" s="66"/>
      <c r="OWM254" s="66"/>
      <c r="OWN254" s="66"/>
      <c r="OWO254" s="66"/>
      <c r="OWP254" s="66"/>
      <c r="OWQ254" s="66"/>
      <c r="OWR254" s="66"/>
      <c r="OWS254" s="66"/>
      <c r="OWT254" s="66"/>
      <c r="OWU254" s="66"/>
      <c r="OWV254" s="66"/>
      <c r="OWW254" s="66"/>
      <c r="OWX254" s="66"/>
      <c r="OWY254" s="66"/>
      <c r="OWZ254" s="66"/>
      <c r="OXA254" s="66"/>
      <c r="OXB254" s="66"/>
      <c r="OXC254" s="66"/>
      <c r="OXD254" s="66"/>
      <c r="OXE254" s="66"/>
      <c r="OXF254" s="66"/>
      <c r="OXG254" s="66"/>
      <c r="OXH254" s="66"/>
      <c r="OXI254" s="66"/>
      <c r="OXJ254" s="66"/>
      <c r="OXK254" s="66"/>
      <c r="OXL254" s="66"/>
      <c r="OXM254" s="66"/>
      <c r="OXN254" s="66"/>
      <c r="OXO254" s="66"/>
      <c r="OXP254" s="66"/>
      <c r="OXQ254" s="66"/>
      <c r="OXR254" s="66"/>
      <c r="OXS254" s="66"/>
      <c r="OXT254" s="66"/>
      <c r="OXU254" s="66"/>
      <c r="OXV254" s="66"/>
      <c r="OXW254" s="66"/>
      <c r="OXX254" s="66"/>
      <c r="OXY254" s="66"/>
      <c r="OXZ254" s="66"/>
      <c r="OYA254" s="66"/>
      <c r="OYB254" s="66"/>
      <c r="OYC254" s="66"/>
      <c r="OYD254" s="66"/>
      <c r="OYE254" s="66"/>
      <c r="OYF254" s="66"/>
      <c r="OYG254" s="66"/>
      <c r="OYH254" s="66"/>
      <c r="OYI254" s="66"/>
      <c r="OYJ254" s="66"/>
      <c r="OYK254" s="66"/>
      <c r="OYL254" s="66"/>
      <c r="OYM254" s="66"/>
      <c r="OYN254" s="66"/>
      <c r="OYO254" s="66"/>
      <c r="OYP254" s="66"/>
      <c r="OYQ254" s="66"/>
      <c r="OYR254" s="66"/>
      <c r="OYS254" s="66"/>
      <c r="OYT254" s="66"/>
      <c r="OYU254" s="66"/>
      <c r="OYV254" s="66"/>
      <c r="OYW254" s="66"/>
      <c r="OYX254" s="66"/>
      <c r="OYY254" s="66"/>
      <c r="OYZ254" s="66"/>
      <c r="OZA254" s="66"/>
      <c r="OZB254" s="66"/>
      <c r="OZC254" s="66"/>
      <c r="OZD254" s="66"/>
      <c r="OZE254" s="66"/>
      <c r="OZF254" s="66"/>
      <c r="OZG254" s="66"/>
      <c r="OZH254" s="66"/>
      <c r="OZI254" s="66"/>
      <c r="OZJ254" s="66"/>
      <c r="OZK254" s="66"/>
      <c r="OZL254" s="66"/>
      <c r="OZM254" s="66"/>
      <c r="OZN254" s="66"/>
      <c r="OZO254" s="66"/>
      <c r="OZP254" s="66"/>
      <c r="OZQ254" s="66"/>
      <c r="OZR254" s="66"/>
      <c r="OZS254" s="66"/>
      <c r="OZT254" s="66"/>
      <c r="OZU254" s="66"/>
      <c r="OZV254" s="66"/>
      <c r="OZW254" s="66"/>
      <c r="OZX254" s="66"/>
      <c r="OZY254" s="66"/>
      <c r="OZZ254" s="66"/>
      <c r="PAA254" s="66"/>
      <c r="PAB254" s="66"/>
      <c r="PAC254" s="66"/>
      <c r="PAD254" s="66"/>
      <c r="PAE254" s="66"/>
      <c r="PAF254" s="66"/>
      <c r="PAG254" s="66"/>
      <c r="PAH254" s="66"/>
      <c r="PAI254" s="66"/>
      <c r="PAJ254" s="66"/>
      <c r="PAK254" s="66"/>
      <c r="PAL254" s="66"/>
      <c r="PAM254" s="66"/>
      <c r="PAN254" s="66"/>
      <c r="PAO254" s="66"/>
      <c r="PAP254" s="66"/>
      <c r="PAQ254" s="66"/>
      <c r="PAR254" s="66"/>
      <c r="PAS254" s="66"/>
      <c r="PAT254" s="66"/>
      <c r="PAU254" s="66"/>
      <c r="PAV254" s="66"/>
      <c r="PAW254" s="66"/>
      <c r="PAX254" s="66"/>
      <c r="PAY254" s="66"/>
      <c r="PAZ254" s="66"/>
      <c r="PBA254" s="66"/>
      <c r="PBB254" s="66"/>
      <c r="PBC254" s="66"/>
      <c r="PBD254" s="66"/>
      <c r="PBE254" s="66"/>
      <c r="PBF254" s="66"/>
      <c r="PBG254" s="66"/>
      <c r="PBH254" s="66"/>
      <c r="PBI254" s="66"/>
      <c r="PBJ254" s="66"/>
      <c r="PBK254" s="66"/>
      <c r="PBL254" s="66"/>
      <c r="PBM254" s="66"/>
      <c r="PBN254" s="66"/>
      <c r="PBO254" s="66"/>
      <c r="PBP254" s="66"/>
      <c r="PBQ254" s="66"/>
      <c r="PBR254" s="66"/>
      <c r="PBS254" s="66"/>
      <c r="PBT254" s="66"/>
      <c r="PBU254" s="66"/>
      <c r="PBV254" s="66"/>
      <c r="PBW254" s="66"/>
      <c r="PBX254" s="66"/>
      <c r="PBY254" s="66"/>
      <c r="PBZ254" s="66"/>
      <c r="PCA254" s="66"/>
      <c r="PCB254" s="66"/>
      <c r="PCC254" s="66"/>
      <c r="PCD254" s="66"/>
      <c r="PCE254" s="66"/>
      <c r="PCF254" s="66"/>
      <c r="PCG254" s="66"/>
      <c r="PCH254" s="66"/>
      <c r="PCI254" s="66"/>
      <c r="PCJ254" s="66"/>
      <c r="PCK254" s="66"/>
      <c r="PCL254" s="66"/>
      <c r="PCM254" s="66"/>
      <c r="PCN254" s="66"/>
      <c r="PCO254" s="66"/>
      <c r="PCP254" s="66"/>
      <c r="PCQ254" s="66"/>
      <c r="PCR254" s="66"/>
      <c r="PCS254" s="66"/>
      <c r="PCT254" s="66"/>
      <c r="PCU254" s="66"/>
      <c r="PCV254" s="66"/>
      <c r="PCW254" s="66"/>
      <c r="PCX254" s="66"/>
      <c r="PCY254" s="66"/>
      <c r="PCZ254" s="66"/>
      <c r="PDA254" s="66"/>
      <c r="PDB254" s="66"/>
      <c r="PDC254" s="66"/>
      <c r="PDD254" s="66"/>
      <c r="PDE254" s="66"/>
      <c r="PDF254" s="66"/>
      <c r="PDG254" s="66"/>
      <c r="PDH254" s="66"/>
      <c r="PDI254" s="66"/>
      <c r="PDJ254" s="66"/>
      <c r="PDK254" s="66"/>
      <c r="PDL254" s="66"/>
      <c r="PDM254" s="66"/>
      <c r="PDN254" s="66"/>
      <c r="PDO254" s="66"/>
      <c r="PDP254" s="66"/>
      <c r="PDQ254" s="66"/>
      <c r="PDR254" s="66"/>
      <c r="PDS254" s="66"/>
      <c r="PDT254" s="66"/>
      <c r="PDU254" s="66"/>
      <c r="PDV254" s="66"/>
      <c r="PDW254" s="66"/>
      <c r="PDX254" s="66"/>
      <c r="PDY254" s="66"/>
      <c r="PDZ254" s="66"/>
      <c r="PEA254" s="66"/>
      <c r="PEB254" s="66"/>
      <c r="PEC254" s="66"/>
      <c r="PED254" s="66"/>
      <c r="PEE254" s="66"/>
      <c r="PEF254" s="66"/>
      <c r="PEG254" s="66"/>
      <c r="PEH254" s="66"/>
      <c r="PEI254" s="66"/>
      <c r="PEJ254" s="66"/>
      <c r="PEK254" s="66"/>
      <c r="PEL254" s="66"/>
      <c r="PEM254" s="66"/>
      <c r="PEN254" s="66"/>
      <c r="PEO254" s="66"/>
      <c r="PEP254" s="66"/>
      <c r="PEQ254" s="66"/>
      <c r="PER254" s="66"/>
      <c r="PES254" s="66"/>
      <c r="PET254" s="66"/>
      <c r="PEU254" s="66"/>
      <c r="PEV254" s="66"/>
      <c r="PEW254" s="66"/>
      <c r="PEX254" s="66"/>
      <c r="PEY254" s="66"/>
      <c r="PEZ254" s="66"/>
      <c r="PFA254" s="66"/>
      <c r="PFB254" s="66"/>
      <c r="PFC254" s="66"/>
      <c r="PFD254" s="66"/>
      <c r="PFE254" s="66"/>
      <c r="PFF254" s="66"/>
      <c r="PFG254" s="66"/>
      <c r="PFH254" s="66"/>
      <c r="PFI254" s="66"/>
      <c r="PFJ254" s="66"/>
      <c r="PFK254" s="66"/>
      <c r="PFL254" s="66"/>
      <c r="PFM254" s="66"/>
      <c r="PFN254" s="66"/>
      <c r="PFO254" s="66"/>
      <c r="PFP254" s="66"/>
      <c r="PFQ254" s="66"/>
      <c r="PFR254" s="66"/>
      <c r="PFS254" s="66"/>
      <c r="PFT254" s="66"/>
      <c r="PFU254" s="66"/>
      <c r="PFV254" s="66"/>
      <c r="PFW254" s="66"/>
      <c r="PFX254" s="66"/>
      <c r="PFY254" s="66"/>
      <c r="PFZ254" s="66"/>
      <c r="PGA254" s="66"/>
      <c r="PGB254" s="66"/>
      <c r="PGC254" s="66"/>
      <c r="PGD254" s="66"/>
      <c r="PGE254" s="66"/>
      <c r="PGF254" s="66"/>
      <c r="PGG254" s="66"/>
      <c r="PGH254" s="66"/>
      <c r="PGI254" s="66"/>
      <c r="PGJ254" s="66"/>
      <c r="PGK254" s="66"/>
      <c r="PGL254" s="66"/>
      <c r="PGM254" s="66"/>
      <c r="PGN254" s="66"/>
      <c r="PGO254" s="66"/>
      <c r="PGP254" s="66"/>
      <c r="PGQ254" s="66"/>
      <c r="PGR254" s="66"/>
      <c r="PGS254" s="66"/>
      <c r="PGT254" s="66"/>
      <c r="PGU254" s="66"/>
      <c r="PGV254" s="66"/>
      <c r="PGW254" s="66"/>
      <c r="PGX254" s="66"/>
      <c r="PGY254" s="66"/>
      <c r="PGZ254" s="66"/>
      <c r="PHA254" s="66"/>
      <c r="PHB254" s="66"/>
      <c r="PHC254" s="66"/>
      <c r="PHD254" s="66"/>
      <c r="PHE254" s="66"/>
      <c r="PHF254" s="66"/>
      <c r="PHG254" s="66"/>
      <c r="PHH254" s="66"/>
      <c r="PHI254" s="66"/>
      <c r="PHJ254" s="66"/>
      <c r="PHK254" s="66"/>
      <c r="PHL254" s="66"/>
      <c r="PHM254" s="66"/>
      <c r="PHN254" s="66"/>
      <c r="PHO254" s="66"/>
      <c r="PHP254" s="66"/>
      <c r="PHQ254" s="66"/>
      <c r="PHR254" s="66"/>
      <c r="PHS254" s="66"/>
      <c r="PHT254" s="66"/>
      <c r="PHU254" s="66"/>
      <c r="PHV254" s="66"/>
      <c r="PHW254" s="66"/>
      <c r="PHX254" s="66"/>
      <c r="PHY254" s="66"/>
      <c r="PHZ254" s="66"/>
      <c r="PIA254" s="66"/>
      <c r="PIB254" s="66"/>
      <c r="PIC254" s="66"/>
      <c r="PID254" s="66"/>
      <c r="PIE254" s="66"/>
      <c r="PIF254" s="66"/>
      <c r="PIG254" s="66"/>
      <c r="PIH254" s="66"/>
      <c r="PII254" s="66"/>
      <c r="PIJ254" s="66"/>
      <c r="PIK254" s="66"/>
      <c r="PIL254" s="66"/>
      <c r="PIM254" s="66"/>
      <c r="PIN254" s="66"/>
      <c r="PIO254" s="66"/>
      <c r="PIP254" s="66"/>
      <c r="PIQ254" s="66"/>
      <c r="PIR254" s="66"/>
      <c r="PIS254" s="66"/>
      <c r="PIT254" s="66"/>
      <c r="PIU254" s="66"/>
      <c r="PIV254" s="66"/>
      <c r="PIW254" s="66"/>
      <c r="PIX254" s="66"/>
      <c r="PIY254" s="66"/>
      <c r="PIZ254" s="66"/>
      <c r="PJA254" s="66"/>
      <c r="PJB254" s="66"/>
      <c r="PJC254" s="66"/>
      <c r="PJD254" s="66"/>
      <c r="PJE254" s="66"/>
      <c r="PJF254" s="66"/>
      <c r="PJG254" s="66"/>
      <c r="PJH254" s="66"/>
      <c r="PJI254" s="66"/>
      <c r="PJJ254" s="66"/>
      <c r="PJK254" s="66"/>
      <c r="PJL254" s="66"/>
      <c r="PJM254" s="66"/>
      <c r="PJN254" s="66"/>
      <c r="PJO254" s="66"/>
      <c r="PJP254" s="66"/>
      <c r="PJQ254" s="66"/>
      <c r="PJR254" s="66"/>
      <c r="PJS254" s="66"/>
      <c r="PJT254" s="66"/>
      <c r="PJU254" s="66"/>
      <c r="PJV254" s="66"/>
      <c r="PJW254" s="66"/>
      <c r="PJX254" s="66"/>
      <c r="PJY254" s="66"/>
      <c r="PJZ254" s="66"/>
      <c r="PKA254" s="66"/>
      <c r="PKB254" s="66"/>
      <c r="PKC254" s="66"/>
      <c r="PKD254" s="66"/>
      <c r="PKE254" s="66"/>
      <c r="PKF254" s="66"/>
      <c r="PKG254" s="66"/>
      <c r="PKH254" s="66"/>
      <c r="PKI254" s="66"/>
      <c r="PKJ254" s="66"/>
      <c r="PKK254" s="66"/>
      <c r="PKL254" s="66"/>
      <c r="PKM254" s="66"/>
      <c r="PKN254" s="66"/>
      <c r="PKO254" s="66"/>
      <c r="PKP254" s="66"/>
      <c r="PKQ254" s="66"/>
      <c r="PKR254" s="66"/>
      <c r="PKS254" s="66"/>
      <c r="PKT254" s="66"/>
      <c r="PKU254" s="66"/>
      <c r="PKV254" s="66"/>
      <c r="PKW254" s="66"/>
      <c r="PKX254" s="66"/>
      <c r="PKY254" s="66"/>
      <c r="PKZ254" s="66"/>
      <c r="PLA254" s="66"/>
      <c r="PLB254" s="66"/>
      <c r="PLC254" s="66"/>
      <c r="PLD254" s="66"/>
      <c r="PLE254" s="66"/>
      <c r="PLF254" s="66"/>
      <c r="PLG254" s="66"/>
      <c r="PLH254" s="66"/>
      <c r="PLI254" s="66"/>
      <c r="PLJ254" s="66"/>
      <c r="PLK254" s="66"/>
      <c r="PLL254" s="66"/>
      <c r="PLM254" s="66"/>
      <c r="PLN254" s="66"/>
      <c r="PLO254" s="66"/>
      <c r="PLP254" s="66"/>
      <c r="PLQ254" s="66"/>
      <c r="PLR254" s="66"/>
      <c r="PLS254" s="66"/>
      <c r="PLT254" s="66"/>
      <c r="PLU254" s="66"/>
      <c r="PLV254" s="66"/>
      <c r="PLW254" s="66"/>
      <c r="PLX254" s="66"/>
      <c r="PLY254" s="66"/>
      <c r="PLZ254" s="66"/>
      <c r="PMA254" s="66"/>
      <c r="PMB254" s="66"/>
      <c r="PMC254" s="66"/>
      <c r="PMD254" s="66"/>
      <c r="PME254" s="66"/>
      <c r="PMF254" s="66"/>
      <c r="PMG254" s="66"/>
      <c r="PMH254" s="66"/>
      <c r="PMI254" s="66"/>
      <c r="PMJ254" s="66"/>
      <c r="PMK254" s="66"/>
      <c r="PML254" s="66"/>
      <c r="PMM254" s="66"/>
      <c r="PMN254" s="66"/>
      <c r="PMO254" s="66"/>
      <c r="PMP254" s="66"/>
      <c r="PMQ254" s="66"/>
      <c r="PMR254" s="66"/>
      <c r="PMS254" s="66"/>
      <c r="PMT254" s="66"/>
      <c r="PMU254" s="66"/>
      <c r="PMV254" s="66"/>
      <c r="PMW254" s="66"/>
      <c r="PMX254" s="66"/>
      <c r="PMY254" s="66"/>
      <c r="PMZ254" s="66"/>
      <c r="PNA254" s="66"/>
      <c r="PNB254" s="66"/>
      <c r="PNC254" s="66"/>
      <c r="PND254" s="66"/>
      <c r="PNE254" s="66"/>
      <c r="PNF254" s="66"/>
      <c r="PNG254" s="66"/>
      <c r="PNH254" s="66"/>
      <c r="PNI254" s="66"/>
      <c r="PNJ254" s="66"/>
      <c r="PNK254" s="66"/>
      <c r="PNL254" s="66"/>
      <c r="PNM254" s="66"/>
      <c r="PNN254" s="66"/>
      <c r="PNO254" s="66"/>
      <c r="PNP254" s="66"/>
      <c r="PNQ254" s="66"/>
      <c r="PNR254" s="66"/>
      <c r="PNS254" s="66"/>
      <c r="PNT254" s="66"/>
      <c r="PNU254" s="66"/>
      <c r="PNV254" s="66"/>
      <c r="PNW254" s="66"/>
      <c r="PNX254" s="66"/>
      <c r="PNY254" s="66"/>
      <c r="PNZ254" s="66"/>
      <c r="POA254" s="66"/>
      <c r="POB254" s="66"/>
      <c r="POC254" s="66"/>
      <c r="POD254" s="66"/>
      <c r="POE254" s="66"/>
      <c r="POF254" s="66"/>
      <c r="POG254" s="66"/>
      <c r="POH254" s="66"/>
      <c r="POI254" s="66"/>
      <c r="POJ254" s="66"/>
      <c r="POK254" s="66"/>
      <c r="POL254" s="66"/>
      <c r="POM254" s="66"/>
      <c r="PON254" s="66"/>
      <c r="POO254" s="66"/>
      <c r="POP254" s="66"/>
      <c r="POQ254" s="66"/>
      <c r="POR254" s="66"/>
      <c r="POS254" s="66"/>
      <c r="POT254" s="66"/>
      <c r="POU254" s="66"/>
      <c r="POV254" s="66"/>
      <c r="POW254" s="66"/>
      <c r="POX254" s="66"/>
      <c r="POY254" s="66"/>
      <c r="POZ254" s="66"/>
      <c r="PPA254" s="66"/>
      <c r="PPB254" s="66"/>
      <c r="PPC254" s="66"/>
      <c r="PPD254" s="66"/>
      <c r="PPE254" s="66"/>
      <c r="PPF254" s="66"/>
      <c r="PPG254" s="66"/>
      <c r="PPH254" s="66"/>
      <c r="PPI254" s="66"/>
      <c r="PPJ254" s="66"/>
      <c r="PPK254" s="66"/>
      <c r="PPL254" s="66"/>
      <c r="PPM254" s="66"/>
      <c r="PPN254" s="66"/>
      <c r="PPO254" s="66"/>
      <c r="PPP254" s="66"/>
      <c r="PPQ254" s="66"/>
      <c r="PPR254" s="66"/>
      <c r="PPS254" s="66"/>
      <c r="PPT254" s="66"/>
      <c r="PPU254" s="66"/>
      <c r="PPV254" s="66"/>
      <c r="PPW254" s="66"/>
      <c r="PPX254" s="66"/>
      <c r="PPY254" s="66"/>
      <c r="PPZ254" s="66"/>
      <c r="PQA254" s="66"/>
      <c r="PQB254" s="66"/>
      <c r="PQC254" s="66"/>
      <c r="PQD254" s="66"/>
      <c r="PQE254" s="66"/>
      <c r="PQF254" s="66"/>
      <c r="PQG254" s="66"/>
      <c r="PQH254" s="66"/>
      <c r="PQI254" s="66"/>
      <c r="PQJ254" s="66"/>
      <c r="PQK254" s="66"/>
      <c r="PQL254" s="66"/>
      <c r="PQM254" s="66"/>
      <c r="PQN254" s="66"/>
      <c r="PQO254" s="66"/>
      <c r="PQP254" s="66"/>
      <c r="PQQ254" s="66"/>
      <c r="PQR254" s="66"/>
      <c r="PQS254" s="66"/>
      <c r="PQT254" s="66"/>
      <c r="PQU254" s="66"/>
      <c r="PQV254" s="66"/>
      <c r="PQW254" s="66"/>
      <c r="PQX254" s="66"/>
      <c r="PQY254" s="66"/>
      <c r="PQZ254" s="66"/>
      <c r="PRA254" s="66"/>
      <c r="PRB254" s="66"/>
      <c r="PRC254" s="66"/>
      <c r="PRD254" s="66"/>
      <c r="PRE254" s="66"/>
      <c r="PRF254" s="66"/>
      <c r="PRG254" s="66"/>
      <c r="PRH254" s="66"/>
      <c r="PRI254" s="66"/>
      <c r="PRJ254" s="66"/>
      <c r="PRK254" s="66"/>
      <c r="PRL254" s="66"/>
      <c r="PRM254" s="66"/>
      <c r="PRN254" s="66"/>
      <c r="PRO254" s="66"/>
      <c r="PRP254" s="66"/>
      <c r="PRQ254" s="66"/>
      <c r="PRR254" s="66"/>
      <c r="PRS254" s="66"/>
      <c r="PRT254" s="66"/>
      <c r="PRU254" s="66"/>
      <c r="PRV254" s="66"/>
      <c r="PRW254" s="66"/>
      <c r="PRX254" s="66"/>
      <c r="PRY254" s="66"/>
      <c r="PRZ254" s="66"/>
      <c r="PSA254" s="66"/>
      <c r="PSB254" s="66"/>
      <c r="PSC254" s="66"/>
      <c r="PSD254" s="66"/>
      <c r="PSE254" s="66"/>
      <c r="PSF254" s="66"/>
      <c r="PSG254" s="66"/>
      <c r="PSH254" s="66"/>
      <c r="PSI254" s="66"/>
      <c r="PSJ254" s="66"/>
      <c r="PSK254" s="66"/>
      <c r="PSL254" s="66"/>
      <c r="PSM254" s="66"/>
      <c r="PSN254" s="66"/>
      <c r="PSO254" s="66"/>
      <c r="PSP254" s="66"/>
      <c r="PSQ254" s="66"/>
      <c r="PSR254" s="66"/>
      <c r="PSS254" s="66"/>
      <c r="PST254" s="66"/>
      <c r="PSU254" s="66"/>
      <c r="PSV254" s="66"/>
      <c r="PSW254" s="66"/>
      <c r="PSX254" s="66"/>
      <c r="PSY254" s="66"/>
      <c r="PSZ254" s="66"/>
      <c r="PTA254" s="66"/>
      <c r="PTB254" s="66"/>
      <c r="PTC254" s="66"/>
      <c r="PTD254" s="66"/>
      <c r="PTE254" s="66"/>
      <c r="PTF254" s="66"/>
      <c r="PTG254" s="66"/>
      <c r="PTH254" s="66"/>
      <c r="PTI254" s="66"/>
      <c r="PTJ254" s="66"/>
      <c r="PTK254" s="66"/>
      <c r="PTL254" s="66"/>
      <c r="PTM254" s="66"/>
      <c r="PTN254" s="66"/>
      <c r="PTO254" s="66"/>
      <c r="PTP254" s="66"/>
      <c r="PTQ254" s="66"/>
      <c r="PTR254" s="66"/>
      <c r="PTS254" s="66"/>
      <c r="PTT254" s="66"/>
      <c r="PTU254" s="66"/>
      <c r="PTV254" s="66"/>
      <c r="PTW254" s="66"/>
      <c r="PTX254" s="66"/>
      <c r="PTY254" s="66"/>
      <c r="PTZ254" s="66"/>
      <c r="PUA254" s="66"/>
      <c r="PUB254" s="66"/>
      <c r="PUC254" s="66"/>
      <c r="PUD254" s="66"/>
      <c r="PUE254" s="66"/>
      <c r="PUF254" s="66"/>
      <c r="PUG254" s="66"/>
      <c r="PUH254" s="66"/>
      <c r="PUI254" s="66"/>
      <c r="PUJ254" s="66"/>
      <c r="PUK254" s="66"/>
      <c r="PUL254" s="66"/>
      <c r="PUM254" s="66"/>
      <c r="PUN254" s="66"/>
      <c r="PUO254" s="66"/>
      <c r="PUP254" s="66"/>
      <c r="PUQ254" s="66"/>
      <c r="PUR254" s="66"/>
      <c r="PUS254" s="66"/>
      <c r="PUT254" s="66"/>
      <c r="PUU254" s="66"/>
      <c r="PUV254" s="66"/>
      <c r="PUW254" s="66"/>
      <c r="PUX254" s="66"/>
      <c r="PUY254" s="66"/>
      <c r="PUZ254" s="66"/>
      <c r="PVA254" s="66"/>
      <c r="PVB254" s="66"/>
      <c r="PVC254" s="66"/>
      <c r="PVD254" s="66"/>
      <c r="PVE254" s="66"/>
      <c r="PVF254" s="66"/>
      <c r="PVG254" s="66"/>
      <c r="PVH254" s="66"/>
      <c r="PVI254" s="66"/>
      <c r="PVJ254" s="66"/>
      <c r="PVK254" s="66"/>
      <c r="PVL254" s="66"/>
      <c r="PVM254" s="66"/>
      <c r="PVN254" s="66"/>
      <c r="PVO254" s="66"/>
      <c r="PVP254" s="66"/>
      <c r="PVQ254" s="66"/>
      <c r="PVR254" s="66"/>
      <c r="PVS254" s="66"/>
      <c r="PVT254" s="66"/>
      <c r="PVU254" s="66"/>
      <c r="PVV254" s="66"/>
      <c r="PVW254" s="66"/>
      <c r="PVX254" s="66"/>
      <c r="PVY254" s="66"/>
      <c r="PVZ254" s="66"/>
      <c r="PWA254" s="66"/>
      <c r="PWB254" s="66"/>
      <c r="PWC254" s="66"/>
      <c r="PWD254" s="66"/>
      <c r="PWE254" s="66"/>
      <c r="PWF254" s="66"/>
      <c r="PWG254" s="66"/>
      <c r="PWH254" s="66"/>
      <c r="PWI254" s="66"/>
      <c r="PWJ254" s="66"/>
      <c r="PWK254" s="66"/>
      <c r="PWL254" s="66"/>
      <c r="PWM254" s="66"/>
      <c r="PWN254" s="66"/>
      <c r="PWO254" s="66"/>
      <c r="PWP254" s="66"/>
      <c r="PWQ254" s="66"/>
      <c r="PWR254" s="66"/>
      <c r="PWS254" s="66"/>
      <c r="PWT254" s="66"/>
      <c r="PWU254" s="66"/>
      <c r="PWV254" s="66"/>
      <c r="PWW254" s="66"/>
      <c r="PWX254" s="66"/>
      <c r="PWY254" s="66"/>
      <c r="PWZ254" s="66"/>
      <c r="PXA254" s="66"/>
      <c r="PXB254" s="66"/>
      <c r="PXC254" s="66"/>
      <c r="PXD254" s="66"/>
      <c r="PXE254" s="66"/>
      <c r="PXF254" s="66"/>
      <c r="PXG254" s="66"/>
      <c r="PXH254" s="66"/>
      <c r="PXI254" s="66"/>
      <c r="PXJ254" s="66"/>
      <c r="PXK254" s="66"/>
      <c r="PXL254" s="66"/>
      <c r="PXM254" s="66"/>
      <c r="PXN254" s="66"/>
      <c r="PXO254" s="66"/>
      <c r="PXP254" s="66"/>
      <c r="PXQ254" s="66"/>
      <c r="PXR254" s="66"/>
      <c r="PXS254" s="66"/>
      <c r="PXT254" s="66"/>
      <c r="PXU254" s="66"/>
      <c r="PXV254" s="66"/>
      <c r="PXW254" s="66"/>
      <c r="PXX254" s="66"/>
      <c r="PXY254" s="66"/>
      <c r="PXZ254" s="66"/>
      <c r="PYA254" s="66"/>
      <c r="PYB254" s="66"/>
      <c r="PYC254" s="66"/>
      <c r="PYD254" s="66"/>
      <c r="PYE254" s="66"/>
      <c r="PYF254" s="66"/>
      <c r="PYG254" s="66"/>
      <c r="PYH254" s="66"/>
      <c r="PYI254" s="66"/>
      <c r="PYJ254" s="66"/>
      <c r="PYK254" s="66"/>
      <c r="PYL254" s="66"/>
      <c r="PYM254" s="66"/>
      <c r="PYN254" s="66"/>
      <c r="PYO254" s="66"/>
      <c r="PYP254" s="66"/>
      <c r="PYQ254" s="66"/>
      <c r="PYR254" s="66"/>
      <c r="PYS254" s="66"/>
      <c r="PYT254" s="66"/>
      <c r="PYU254" s="66"/>
      <c r="PYV254" s="66"/>
      <c r="PYW254" s="66"/>
      <c r="PYX254" s="66"/>
      <c r="PYY254" s="66"/>
      <c r="PYZ254" s="66"/>
      <c r="PZA254" s="66"/>
      <c r="PZB254" s="66"/>
      <c r="PZC254" s="66"/>
      <c r="PZD254" s="66"/>
      <c r="PZE254" s="66"/>
      <c r="PZF254" s="66"/>
      <c r="PZG254" s="66"/>
      <c r="PZH254" s="66"/>
      <c r="PZI254" s="66"/>
      <c r="PZJ254" s="66"/>
      <c r="PZK254" s="66"/>
      <c r="PZL254" s="66"/>
      <c r="PZM254" s="66"/>
      <c r="PZN254" s="66"/>
      <c r="PZO254" s="66"/>
      <c r="PZP254" s="66"/>
      <c r="PZQ254" s="66"/>
      <c r="PZR254" s="66"/>
      <c r="PZS254" s="66"/>
      <c r="PZT254" s="66"/>
      <c r="PZU254" s="66"/>
      <c r="PZV254" s="66"/>
      <c r="PZW254" s="66"/>
      <c r="PZX254" s="66"/>
      <c r="PZY254" s="66"/>
      <c r="PZZ254" s="66"/>
      <c r="QAA254" s="66"/>
      <c r="QAB254" s="66"/>
      <c r="QAC254" s="66"/>
      <c r="QAD254" s="66"/>
      <c r="QAE254" s="66"/>
      <c r="QAF254" s="66"/>
      <c r="QAG254" s="66"/>
      <c r="QAH254" s="66"/>
      <c r="QAI254" s="66"/>
      <c r="QAJ254" s="66"/>
      <c r="QAK254" s="66"/>
      <c r="QAL254" s="66"/>
      <c r="QAM254" s="66"/>
      <c r="QAN254" s="66"/>
      <c r="QAO254" s="66"/>
      <c r="QAP254" s="66"/>
      <c r="QAQ254" s="66"/>
      <c r="QAR254" s="66"/>
      <c r="QAS254" s="66"/>
      <c r="QAT254" s="66"/>
      <c r="QAU254" s="66"/>
      <c r="QAV254" s="66"/>
      <c r="QAW254" s="66"/>
      <c r="QAX254" s="66"/>
      <c r="QAY254" s="66"/>
      <c r="QAZ254" s="66"/>
      <c r="QBA254" s="66"/>
      <c r="QBB254" s="66"/>
      <c r="QBC254" s="66"/>
      <c r="QBD254" s="66"/>
      <c r="QBE254" s="66"/>
      <c r="QBF254" s="66"/>
      <c r="QBG254" s="66"/>
      <c r="QBH254" s="66"/>
      <c r="QBI254" s="66"/>
      <c r="QBJ254" s="66"/>
      <c r="QBK254" s="66"/>
      <c r="QBL254" s="66"/>
      <c r="QBM254" s="66"/>
      <c r="QBN254" s="66"/>
      <c r="QBO254" s="66"/>
      <c r="QBP254" s="66"/>
      <c r="QBQ254" s="66"/>
      <c r="QBR254" s="66"/>
      <c r="QBS254" s="66"/>
      <c r="QBT254" s="66"/>
      <c r="QBU254" s="66"/>
      <c r="QBV254" s="66"/>
      <c r="QBW254" s="66"/>
      <c r="QBX254" s="66"/>
      <c r="QBY254" s="66"/>
      <c r="QBZ254" s="66"/>
      <c r="QCA254" s="66"/>
      <c r="QCB254" s="66"/>
      <c r="QCC254" s="66"/>
      <c r="QCD254" s="66"/>
      <c r="QCE254" s="66"/>
      <c r="QCF254" s="66"/>
      <c r="QCG254" s="66"/>
      <c r="QCH254" s="66"/>
      <c r="QCI254" s="66"/>
      <c r="QCJ254" s="66"/>
      <c r="QCK254" s="66"/>
      <c r="QCL254" s="66"/>
      <c r="QCM254" s="66"/>
      <c r="QCN254" s="66"/>
      <c r="QCO254" s="66"/>
      <c r="QCP254" s="66"/>
      <c r="QCQ254" s="66"/>
      <c r="QCR254" s="66"/>
      <c r="QCS254" s="66"/>
      <c r="QCT254" s="66"/>
      <c r="QCU254" s="66"/>
      <c r="QCV254" s="66"/>
      <c r="QCW254" s="66"/>
      <c r="QCX254" s="66"/>
      <c r="QCY254" s="66"/>
      <c r="QCZ254" s="66"/>
      <c r="QDA254" s="66"/>
      <c r="QDB254" s="66"/>
      <c r="QDC254" s="66"/>
      <c r="QDD254" s="66"/>
      <c r="QDE254" s="66"/>
      <c r="QDF254" s="66"/>
      <c r="QDG254" s="66"/>
      <c r="QDH254" s="66"/>
      <c r="QDI254" s="66"/>
      <c r="QDJ254" s="66"/>
      <c r="QDK254" s="66"/>
      <c r="QDL254" s="66"/>
      <c r="QDM254" s="66"/>
      <c r="QDN254" s="66"/>
      <c r="QDO254" s="66"/>
      <c r="QDP254" s="66"/>
      <c r="QDQ254" s="66"/>
      <c r="QDR254" s="66"/>
      <c r="QDS254" s="66"/>
      <c r="QDT254" s="66"/>
      <c r="QDU254" s="66"/>
      <c r="QDV254" s="66"/>
      <c r="QDW254" s="66"/>
      <c r="QDX254" s="66"/>
      <c r="QDY254" s="66"/>
      <c r="QDZ254" s="66"/>
      <c r="QEA254" s="66"/>
      <c r="QEB254" s="66"/>
      <c r="QEC254" s="66"/>
      <c r="QED254" s="66"/>
      <c r="QEE254" s="66"/>
      <c r="QEF254" s="66"/>
      <c r="QEG254" s="66"/>
      <c r="QEH254" s="66"/>
      <c r="QEI254" s="66"/>
      <c r="QEJ254" s="66"/>
      <c r="QEK254" s="66"/>
      <c r="QEL254" s="66"/>
      <c r="QEM254" s="66"/>
      <c r="QEN254" s="66"/>
      <c r="QEO254" s="66"/>
      <c r="QEP254" s="66"/>
      <c r="QEQ254" s="66"/>
      <c r="QER254" s="66"/>
      <c r="QES254" s="66"/>
      <c r="QET254" s="66"/>
      <c r="QEU254" s="66"/>
      <c r="QEV254" s="66"/>
      <c r="QEW254" s="66"/>
      <c r="QEX254" s="66"/>
      <c r="QEY254" s="66"/>
      <c r="QEZ254" s="66"/>
      <c r="QFA254" s="66"/>
      <c r="QFB254" s="66"/>
      <c r="QFC254" s="66"/>
      <c r="QFD254" s="66"/>
      <c r="QFE254" s="66"/>
      <c r="QFF254" s="66"/>
      <c r="QFG254" s="66"/>
      <c r="QFH254" s="66"/>
      <c r="QFI254" s="66"/>
      <c r="QFJ254" s="66"/>
      <c r="QFK254" s="66"/>
      <c r="QFL254" s="66"/>
      <c r="QFM254" s="66"/>
      <c r="QFN254" s="66"/>
      <c r="QFO254" s="66"/>
      <c r="QFP254" s="66"/>
      <c r="QFQ254" s="66"/>
      <c r="QFR254" s="66"/>
      <c r="QFS254" s="66"/>
      <c r="QFT254" s="66"/>
      <c r="QFU254" s="66"/>
      <c r="QFV254" s="66"/>
      <c r="QFW254" s="66"/>
      <c r="QFX254" s="66"/>
      <c r="QFY254" s="66"/>
      <c r="QFZ254" s="66"/>
      <c r="QGA254" s="66"/>
      <c r="QGB254" s="66"/>
      <c r="QGC254" s="66"/>
      <c r="QGD254" s="66"/>
      <c r="QGE254" s="66"/>
      <c r="QGF254" s="66"/>
      <c r="QGG254" s="66"/>
      <c r="QGH254" s="66"/>
      <c r="QGI254" s="66"/>
      <c r="QGJ254" s="66"/>
      <c r="QGK254" s="66"/>
      <c r="QGL254" s="66"/>
      <c r="QGM254" s="66"/>
      <c r="QGN254" s="66"/>
      <c r="QGO254" s="66"/>
      <c r="QGP254" s="66"/>
      <c r="QGQ254" s="66"/>
      <c r="QGR254" s="66"/>
      <c r="QGS254" s="66"/>
      <c r="QGT254" s="66"/>
      <c r="QGU254" s="66"/>
      <c r="QGV254" s="66"/>
      <c r="QGW254" s="66"/>
      <c r="QGX254" s="66"/>
      <c r="QGY254" s="66"/>
      <c r="QGZ254" s="66"/>
      <c r="QHA254" s="66"/>
      <c r="QHB254" s="66"/>
      <c r="QHC254" s="66"/>
      <c r="QHD254" s="66"/>
      <c r="QHE254" s="66"/>
      <c r="QHF254" s="66"/>
      <c r="QHG254" s="66"/>
      <c r="QHH254" s="66"/>
      <c r="QHI254" s="66"/>
      <c r="QHJ254" s="66"/>
      <c r="QHK254" s="66"/>
      <c r="QHL254" s="66"/>
      <c r="QHM254" s="66"/>
      <c r="QHN254" s="66"/>
      <c r="QHO254" s="66"/>
      <c r="QHP254" s="66"/>
      <c r="QHQ254" s="66"/>
      <c r="QHR254" s="66"/>
      <c r="QHS254" s="66"/>
      <c r="QHT254" s="66"/>
      <c r="QHU254" s="66"/>
      <c r="QHV254" s="66"/>
      <c r="QHW254" s="66"/>
      <c r="QHX254" s="66"/>
      <c r="QHY254" s="66"/>
      <c r="QHZ254" s="66"/>
      <c r="QIA254" s="66"/>
      <c r="QIB254" s="66"/>
      <c r="QIC254" s="66"/>
      <c r="QID254" s="66"/>
      <c r="QIE254" s="66"/>
      <c r="QIF254" s="66"/>
      <c r="QIG254" s="66"/>
      <c r="QIH254" s="66"/>
      <c r="QII254" s="66"/>
      <c r="QIJ254" s="66"/>
      <c r="QIK254" s="66"/>
      <c r="QIL254" s="66"/>
      <c r="QIM254" s="66"/>
      <c r="QIN254" s="66"/>
      <c r="QIO254" s="66"/>
      <c r="QIP254" s="66"/>
      <c r="QIQ254" s="66"/>
      <c r="QIR254" s="66"/>
      <c r="QIS254" s="66"/>
      <c r="QIT254" s="66"/>
      <c r="QIU254" s="66"/>
      <c r="QIV254" s="66"/>
      <c r="QIW254" s="66"/>
      <c r="QIX254" s="66"/>
      <c r="QIY254" s="66"/>
      <c r="QIZ254" s="66"/>
      <c r="QJA254" s="66"/>
      <c r="QJB254" s="66"/>
      <c r="QJC254" s="66"/>
      <c r="QJD254" s="66"/>
      <c r="QJE254" s="66"/>
      <c r="QJF254" s="66"/>
      <c r="QJG254" s="66"/>
      <c r="QJH254" s="66"/>
      <c r="QJI254" s="66"/>
      <c r="QJJ254" s="66"/>
      <c r="QJK254" s="66"/>
      <c r="QJL254" s="66"/>
      <c r="QJM254" s="66"/>
      <c r="QJN254" s="66"/>
      <c r="QJO254" s="66"/>
      <c r="QJP254" s="66"/>
      <c r="QJQ254" s="66"/>
      <c r="QJR254" s="66"/>
      <c r="QJS254" s="66"/>
      <c r="QJT254" s="66"/>
      <c r="QJU254" s="66"/>
      <c r="QJV254" s="66"/>
      <c r="QJW254" s="66"/>
      <c r="QJX254" s="66"/>
      <c r="QJY254" s="66"/>
      <c r="QJZ254" s="66"/>
      <c r="QKA254" s="66"/>
      <c r="QKB254" s="66"/>
      <c r="QKC254" s="66"/>
      <c r="QKD254" s="66"/>
      <c r="QKE254" s="66"/>
      <c r="QKF254" s="66"/>
      <c r="QKG254" s="66"/>
      <c r="QKH254" s="66"/>
      <c r="QKI254" s="66"/>
      <c r="QKJ254" s="66"/>
      <c r="QKK254" s="66"/>
      <c r="QKL254" s="66"/>
      <c r="QKM254" s="66"/>
      <c r="QKN254" s="66"/>
      <c r="QKO254" s="66"/>
      <c r="QKP254" s="66"/>
      <c r="QKQ254" s="66"/>
      <c r="QKR254" s="66"/>
      <c r="QKS254" s="66"/>
      <c r="QKT254" s="66"/>
      <c r="QKU254" s="66"/>
      <c r="QKV254" s="66"/>
      <c r="QKW254" s="66"/>
      <c r="QKX254" s="66"/>
      <c r="QKY254" s="66"/>
      <c r="QKZ254" s="66"/>
      <c r="QLA254" s="66"/>
      <c r="QLB254" s="66"/>
      <c r="QLC254" s="66"/>
      <c r="QLD254" s="66"/>
      <c r="QLE254" s="66"/>
      <c r="QLF254" s="66"/>
      <c r="QLG254" s="66"/>
      <c r="QLH254" s="66"/>
      <c r="QLI254" s="66"/>
      <c r="QLJ254" s="66"/>
      <c r="QLK254" s="66"/>
      <c r="QLL254" s="66"/>
      <c r="QLM254" s="66"/>
      <c r="QLN254" s="66"/>
      <c r="QLO254" s="66"/>
      <c r="QLP254" s="66"/>
      <c r="QLQ254" s="66"/>
      <c r="QLR254" s="66"/>
      <c r="QLS254" s="66"/>
      <c r="QLT254" s="66"/>
      <c r="QLU254" s="66"/>
      <c r="QLV254" s="66"/>
      <c r="QLW254" s="66"/>
      <c r="QLX254" s="66"/>
      <c r="QLY254" s="66"/>
      <c r="QLZ254" s="66"/>
      <c r="QMA254" s="66"/>
      <c r="QMB254" s="66"/>
      <c r="QMC254" s="66"/>
      <c r="QMD254" s="66"/>
      <c r="QME254" s="66"/>
      <c r="QMF254" s="66"/>
      <c r="QMG254" s="66"/>
      <c r="QMH254" s="66"/>
      <c r="QMI254" s="66"/>
      <c r="QMJ254" s="66"/>
      <c r="QMK254" s="66"/>
      <c r="QML254" s="66"/>
      <c r="QMM254" s="66"/>
      <c r="QMN254" s="66"/>
      <c r="QMO254" s="66"/>
      <c r="QMP254" s="66"/>
      <c r="QMQ254" s="66"/>
      <c r="QMR254" s="66"/>
      <c r="QMS254" s="66"/>
      <c r="QMT254" s="66"/>
      <c r="QMU254" s="66"/>
      <c r="QMV254" s="66"/>
      <c r="QMW254" s="66"/>
      <c r="QMX254" s="66"/>
      <c r="QMY254" s="66"/>
      <c r="QMZ254" s="66"/>
      <c r="QNA254" s="66"/>
      <c r="QNB254" s="66"/>
      <c r="QNC254" s="66"/>
      <c r="QND254" s="66"/>
      <c r="QNE254" s="66"/>
      <c r="QNF254" s="66"/>
      <c r="QNG254" s="66"/>
      <c r="QNH254" s="66"/>
      <c r="QNI254" s="66"/>
      <c r="QNJ254" s="66"/>
      <c r="QNK254" s="66"/>
      <c r="QNL254" s="66"/>
      <c r="QNM254" s="66"/>
      <c r="QNN254" s="66"/>
      <c r="QNO254" s="66"/>
      <c r="QNP254" s="66"/>
      <c r="QNQ254" s="66"/>
      <c r="QNR254" s="66"/>
      <c r="QNS254" s="66"/>
      <c r="QNT254" s="66"/>
      <c r="QNU254" s="66"/>
      <c r="QNV254" s="66"/>
      <c r="QNW254" s="66"/>
      <c r="QNX254" s="66"/>
      <c r="QNY254" s="66"/>
      <c r="QNZ254" s="66"/>
      <c r="QOA254" s="66"/>
      <c r="QOB254" s="66"/>
      <c r="QOC254" s="66"/>
      <c r="QOD254" s="66"/>
      <c r="QOE254" s="66"/>
      <c r="QOF254" s="66"/>
      <c r="QOG254" s="66"/>
      <c r="QOH254" s="66"/>
      <c r="QOI254" s="66"/>
      <c r="QOJ254" s="66"/>
      <c r="QOK254" s="66"/>
      <c r="QOL254" s="66"/>
      <c r="QOM254" s="66"/>
      <c r="QON254" s="66"/>
      <c r="QOO254" s="66"/>
      <c r="QOP254" s="66"/>
      <c r="QOQ254" s="66"/>
      <c r="QOR254" s="66"/>
      <c r="QOS254" s="66"/>
      <c r="QOT254" s="66"/>
      <c r="QOU254" s="66"/>
      <c r="QOV254" s="66"/>
      <c r="QOW254" s="66"/>
      <c r="QOX254" s="66"/>
      <c r="QOY254" s="66"/>
      <c r="QOZ254" s="66"/>
      <c r="QPA254" s="66"/>
      <c r="QPB254" s="66"/>
      <c r="QPC254" s="66"/>
      <c r="QPD254" s="66"/>
      <c r="QPE254" s="66"/>
      <c r="QPF254" s="66"/>
      <c r="QPG254" s="66"/>
      <c r="QPH254" s="66"/>
      <c r="QPI254" s="66"/>
      <c r="QPJ254" s="66"/>
      <c r="QPK254" s="66"/>
      <c r="QPL254" s="66"/>
      <c r="QPM254" s="66"/>
      <c r="QPN254" s="66"/>
      <c r="QPO254" s="66"/>
      <c r="QPP254" s="66"/>
      <c r="QPQ254" s="66"/>
      <c r="QPR254" s="66"/>
      <c r="QPS254" s="66"/>
      <c r="QPT254" s="66"/>
      <c r="QPU254" s="66"/>
      <c r="QPV254" s="66"/>
      <c r="QPW254" s="66"/>
      <c r="QPX254" s="66"/>
      <c r="QPY254" s="66"/>
      <c r="QPZ254" s="66"/>
      <c r="QQA254" s="66"/>
      <c r="QQB254" s="66"/>
      <c r="QQC254" s="66"/>
      <c r="QQD254" s="66"/>
      <c r="QQE254" s="66"/>
      <c r="QQF254" s="66"/>
      <c r="QQG254" s="66"/>
      <c r="QQH254" s="66"/>
      <c r="QQI254" s="66"/>
      <c r="QQJ254" s="66"/>
      <c r="QQK254" s="66"/>
      <c r="QQL254" s="66"/>
      <c r="QQM254" s="66"/>
      <c r="QQN254" s="66"/>
      <c r="QQO254" s="66"/>
      <c r="QQP254" s="66"/>
      <c r="QQQ254" s="66"/>
      <c r="QQR254" s="66"/>
      <c r="QQS254" s="66"/>
      <c r="QQT254" s="66"/>
      <c r="QQU254" s="66"/>
      <c r="QQV254" s="66"/>
      <c r="QQW254" s="66"/>
      <c r="QQX254" s="66"/>
      <c r="QQY254" s="66"/>
      <c r="QQZ254" s="66"/>
      <c r="QRA254" s="66"/>
      <c r="QRB254" s="66"/>
      <c r="QRC254" s="66"/>
      <c r="QRD254" s="66"/>
      <c r="QRE254" s="66"/>
      <c r="QRF254" s="66"/>
      <c r="QRG254" s="66"/>
      <c r="QRH254" s="66"/>
      <c r="QRI254" s="66"/>
      <c r="QRJ254" s="66"/>
      <c r="QRK254" s="66"/>
      <c r="QRL254" s="66"/>
      <c r="QRM254" s="66"/>
      <c r="QRN254" s="66"/>
      <c r="QRO254" s="66"/>
      <c r="QRP254" s="66"/>
      <c r="QRQ254" s="66"/>
      <c r="QRR254" s="66"/>
      <c r="QRS254" s="66"/>
      <c r="QRT254" s="66"/>
      <c r="QRU254" s="66"/>
      <c r="QRV254" s="66"/>
      <c r="QRW254" s="66"/>
      <c r="QRX254" s="66"/>
      <c r="QRY254" s="66"/>
      <c r="QRZ254" s="66"/>
      <c r="QSA254" s="66"/>
      <c r="QSB254" s="66"/>
      <c r="QSC254" s="66"/>
      <c r="QSD254" s="66"/>
      <c r="QSE254" s="66"/>
      <c r="QSF254" s="66"/>
      <c r="QSG254" s="66"/>
      <c r="QSH254" s="66"/>
      <c r="QSI254" s="66"/>
      <c r="QSJ254" s="66"/>
      <c r="QSK254" s="66"/>
      <c r="QSL254" s="66"/>
      <c r="QSM254" s="66"/>
      <c r="QSN254" s="66"/>
      <c r="QSO254" s="66"/>
      <c r="QSP254" s="66"/>
      <c r="QSQ254" s="66"/>
      <c r="QSR254" s="66"/>
      <c r="QSS254" s="66"/>
      <c r="QST254" s="66"/>
      <c r="QSU254" s="66"/>
      <c r="QSV254" s="66"/>
      <c r="QSW254" s="66"/>
      <c r="QSX254" s="66"/>
      <c r="QSY254" s="66"/>
      <c r="QSZ254" s="66"/>
      <c r="QTA254" s="66"/>
      <c r="QTB254" s="66"/>
      <c r="QTC254" s="66"/>
      <c r="QTD254" s="66"/>
      <c r="QTE254" s="66"/>
      <c r="QTF254" s="66"/>
      <c r="QTG254" s="66"/>
      <c r="QTH254" s="66"/>
      <c r="QTI254" s="66"/>
      <c r="QTJ254" s="66"/>
      <c r="QTK254" s="66"/>
      <c r="QTL254" s="66"/>
      <c r="QTM254" s="66"/>
      <c r="QTN254" s="66"/>
      <c r="QTO254" s="66"/>
      <c r="QTP254" s="66"/>
      <c r="QTQ254" s="66"/>
      <c r="QTR254" s="66"/>
      <c r="QTS254" s="66"/>
      <c r="QTT254" s="66"/>
      <c r="QTU254" s="66"/>
      <c r="QTV254" s="66"/>
      <c r="QTW254" s="66"/>
      <c r="QTX254" s="66"/>
      <c r="QTY254" s="66"/>
      <c r="QTZ254" s="66"/>
      <c r="QUA254" s="66"/>
      <c r="QUB254" s="66"/>
      <c r="QUC254" s="66"/>
      <c r="QUD254" s="66"/>
      <c r="QUE254" s="66"/>
      <c r="QUF254" s="66"/>
      <c r="QUG254" s="66"/>
      <c r="QUH254" s="66"/>
      <c r="QUI254" s="66"/>
      <c r="QUJ254" s="66"/>
      <c r="QUK254" s="66"/>
      <c r="QUL254" s="66"/>
      <c r="QUM254" s="66"/>
      <c r="QUN254" s="66"/>
      <c r="QUO254" s="66"/>
      <c r="QUP254" s="66"/>
      <c r="QUQ254" s="66"/>
      <c r="QUR254" s="66"/>
      <c r="QUS254" s="66"/>
      <c r="QUT254" s="66"/>
      <c r="QUU254" s="66"/>
      <c r="QUV254" s="66"/>
      <c r="QUW254" s="66"/>
      <c r="QUX254" s="66"/>
      <c r="QUY254" s="66"/>
      <c r="QUZ254" s="66"/>
      <c r="QVA254" s="66"/>
      <c r="QVB254" s="66"/>
      <c r="QVC254" s="66"/>
      <c r="QVD254" s="66"/>
      <c r="QVE254" s="66"/>
      <c r="QVF254" s="66"/>
      <c r="QVG254" s="66"/>
      <c r="QVH254" s="66"/>
      <c r="QVI254" s="66"/>
      <c r="QVJ254" s="66"/>
      <c r="QVK254" s="66"/>
      <c r="QVL254" s="66"/>
      <c r="QVM254" s="66"/>
      <c r="QVN254" s="66"/>
      <c r="QVO254" s="66"/>
      <c r="QVP254" s="66"/>
      <c r="QVQ254" s="66"/>
      <c r="QVR254" s="66"/>
      <c r="QVS254" s="66"/>
      <c r="QVT254" s="66"/>
      <c r="QVU254" s="66"/>
      <c r="QVV254" s="66"/>
      <c r="QVW254" s="66"/>
      <c r="QVX254" s="66"/>
      <c r="QVY254" s="66"/>
      <c r="QVZ254" s="66"/>
      <c r="QWA254" s="66"/>
      <c r="QWB254" s="66"/>
      <c r="QWC254" s="66"/>
      <c r="QWD254" s="66"/>
      <c r="QWE254" s="66"/>
      <c r="QWF254" s="66"/>
      <c r="QWG254" s="66"/>
      <c r="QWH254" s="66"/>
      <c r="QWI254" s="66"/>
      <c r="QWJ254" s="66"/>
      <c r="QWK254" s="66"/>
      <c r="QWL254" s="66"/>
      <c r="QWM254" s="66"/>
      <c r="QWN254" s="66"/>
      <c r="QWO254" s="66"/>
      <c r="QWP254" s="66"/>
      <c r="QWQ254" s="66"/>
      <c r="QWR254" s="66"/>
      <c r="QWS254" s="66"/>
      <c r="QWT254" s="66"/>
      <c r="QWU254" s="66"/>
      <c r="QWV254" s="66"/>
      <c r="QWW254" s="66"/>
      <c r="QWX254" s="66"/>
      <c r="QWY254" s="66"/>
      <c r="QWZ254" s="66"/>
      <c r="QXA254" s="66"/>
      <c r="QXB254" s="66"/>
      <c r="QXC254" s="66"/>
      <c r="QXD254" s="66"/>
      <c r="QXE254" s="66"/>
      <c r="QXF254" s="66"/>
      <c r="QXG254" s="66"/>
      <c r="QXH254" s="66"/>
      <c r="QXI254" s="66"/>
      <c r="QXJ254" s="66"/>
      <c r="QXK254" s="66"/>
      <c r="QXL254" s="66"/>
      <c r="QXM254" s="66"/>
      <c r="QXN254" s="66"/>
      <c r="QXO254" s="66"/>
      <c r="QXP254" s="66"/>
      <c r="QXQ254" s="66"/>
      <c r="QXR254" s="66"/>
      <c r="QXS254" s="66"/>
      <c r="QXT254" s="66"/>
      <c r="QXU254" s="66"/>
      <c r="QXV254" s="66"/>
      <c r="QXW254" s="66"/>
      <c r="QXX254" s="66"/>
      <c r="QXY254" s="66"/>
      <c r="QXZ254" s="66"/>
      <c r="QYA254" s="66"/>
      <c r="QYB254" s="66"/>
      <c r="QYC254" s="66"/>
      <c r="QYD254" s="66"/>
      <c r="QYE254" s="66"/>
      <c r="QYF254" s="66"/>
      <c r="QYG254" s="66"/>
      <c r="QYH254" s="66"/>
      <c r="QYI254" s="66"/>
      <c r="QYJ254" s="66"/>
      <c r="QYK254" s="66"/>
      <c r="QYL254" s="66"/>
      <c r="QYM254" s="66"/>
      <c r="QYN254" s="66"/>
      <c r="QYO254" s="66"/>
      <c r="QYP254" s="66"/>
      <c r="QYQ254" s="66"/>
      <c r="QYR254" s="66"/>
      <c r="QYS254" s="66"/>
      <c r="QYT254" s="66"/>
      <c r="QYU254" s="66"/>
      <c r="QYV254" s="66"/>
      <c r="QYW254" s="66"/>
      <c r="QYX254" s="66"/>
      <c r="QYY254" s="66"/>
      <c r="QYZ254" s="66"/>
      <c r="QZA254" s="66"/>
      <c r="QZB254" s="66"/>
      <c r="QZC254" s="66"/>
      <c r="QZD254" s="66"/>
      <c r="QZE254" s="66"/>
      <c r="QZF254" s="66"/>
      <c r="QZG254" s="66"/>
      <c r="QZH254" s="66"/>
      <c r="QZI254" s="66"/>
      <c r="QZJ254" s="66"/>
      <c r="QZK254" s="66"/>
      <c r="QZL254" s="66"/>
      <c r="QZM254" s="66"/>
      <c r="QZN254" s="66"/>
      <c r="QZO254" s="66"/>
      <c r="QZP254" s="66"/>
      <c r="QZQ254" s="66"/>
      <c r="QZR254" s="66"/>
      <c r="QZS254" s="66"/>
      <c r="QZT254" s="66"/>
      <c r="QZU254" s="66"/>
      <c r="QZV254" s="66"/>
      <c r="QZW254" s="66"/>
      <c r="QZX254" s="66"/>
      <c r="QZY254" s="66"/>
      <c r="QZZ254" s="66"/>
      <c r="RAA254" s="66"/>
      <c r="RAB254" s="66"/>
      <c r="RAC254" s="66"/>
      <c r="RAD254" s="66"/>
      <c r="RAE254" s="66"/>
      <c r="RAF254" s="66"/>
      <c r="RAG254" s="66"/>
      <c r="RAH254" s="66"/>
      <c r="RAI254" s="66"/>
      <c r="RAJ254" s="66"/>
      <c r="RAK254" s="66"/>
      <c r="RAL254" s="66"/>
      <c r="RAM254" s="66"/>
      <c r="RAN254" s="66"/>
      <c r="RAO254" s="66"/>
      <c r="RAP254" s="66"/>
      <c r="RAQ254" s="66"/>
      <c r="RAR254" s="66"/>
      <c r="RAS254" s="66"/>
      <c r="RAT254" s="66"/>
      <c r="RAU254" s="66"/>
      <c r="RAV254" s="66"/>
      <c r="RAW254" s="66"/>
      <c r="RAX254" s="66"/>
      <c r="RAY254" s="66"/>
      <c r="RAZ254" s="66"/>
      <c r="RBA254" s="66"/>
      <c r="RBB254" s="66"/>
      <c r="RBC254" s="66"/>
      <c r="RBD254" s="66"/>
      <c r="RBE254" s="66"/>
      <c r="RBF254" s="66"/>
      <c r="RBG254" s="66"/>
      <c r="RBH254" s="66"/>
      <c r="RBI254" s="66"/>
      <c r="RBJ254" s="66"/>
      <c r="RBK254" s="66"/>
      <c r="RBL254" s="66"/>
      <c r="RBM254" s="66"/>
      <c r="RBN254" s="66"/>
      <c r="RBO254" s="66"/>
      <c r="RBP254" s="66"/>
      <c r="RBQ254" s="66"/>
      <c r="RBR254" s="66"/>
      <c r="RBS254" s="66"/>
      <c r="RBT254" s="66"/>
      <c r="RBU254" s="66"/>
      <c r="RBV254" s="66"/>
      <c r="RBW254" s="66"/>
      <c r="RBX254" s="66"/>
      <c r="RBY254" s="66"/>
      <c r="RBZ254" s="66"/>
      <c r="RCA254" s="66"/>
      <c r="RCB254" s="66"/>
      <c r="RCC254" s="66"/>
      <c r="RCD254" s="66"/>
      <c r="RCE254" s="66"/>
      <c r="RCF254" s="66"/>
      <c r="RCG254" s="66"/>
      <c r="RCH254" s="66"/>
      <c r="RCI254" s="66"/>
      <c r="RCJ254" s="66"/>
      <c r="RCK254" s="66"/>
      <c r="RCL254" s="66"/>
      <c r="RCM254" s="66"/>
      <c r="RCN254" s="66"/>
      <c r="RCO254" s="66"/>
      <c r="RCP254" s="66"/>
      <c r="RCQ254" s="66"/>
      <c r="RCR254" s="66"/>
      <c r="RCS254" s="66"/>
      <c r="RCT254" s="66"/>
      <c r="RCU254" s="66"/>
      <c r="RCV254" s="66"/>
      <c r="RCW254" s="66"/>
      <c r="RCX254" s="66"/>
      <c r="RCY254" s="66"/>
      <c r="RCZ254" s="66"/>
      <c r="RDA254" s="66"/>
      <c r="RDB254" s="66"/>
      <c r="RDC254" s="66"/>
      <c r="RDD254" s="66"/>
      <c r="RDE254" s="66"/>
      <c r="RDF254" s="66"/>
      <c r="RDG254" s="66"/>
      <c r="RDH254" s="66"/>
      <c r="RDI254" s="66"/>
      <c r="RDJ254" s="66"/>
      <c r="RDK254" s="66"/>
      <c r="RDL254" s="66"/>
      <c r="RDM254" s="66"/>
      <c r="RDN254" s="66"/>
      <c r="RDO254" s="66"/>
      <c r="RDP254" s="66"/>
      <c r="RDQ254" s="66"/>
      <c r="RDR254" s="66"/>
      <c r="RDS254" s="66"/>
      <c r="RDT254" s="66"/>
      <c r="RDU254" s="66"/>
      <c r="RDV254" s="66"/>
      <c r="RDW254" s="66"/>
      <c r="RDX254" s="66"/>
      <c r="RDY254" s="66"/>
      <c r="RDZ254" s="66"/>
      <c r="REA254" s="66"/>
      <c r="REB254" s="66"/>
      <c r="REC254" s="66"/>
      <c r="RED254" s="66"/>
      <c r="REE254" s="66"/>
      <c r="REF254" s="66"/>
      <c r="REG254" s="66"/>
      <c r="REH254" s="66"/>
      <c r="REI254" s="66"/>
      <c r="REJ254" s="66"/>
      <c r="REK254" s="66"/>
      <c r="REL254" s="66"/>
      <c r="REM254" s="66"/>
      <c r="REN254" s="66"/>
      <c r="REO254" s="66"/>
      <c r="REP254" s="66"/>
      <c r="REQ254" s="66"/>
      <c r="RER254" s="66"/>
      <c r="RES254" s="66"/>
      <c r="RET254" s="66"/>
      <c r="REU254" s="66"/>
      <c r="REV254" s="66"/>
      <c r="REW254" s="66"/>
      <c r="REX254" s="66"/>
      <c r="REY254" s="66"/>
      <c r="REZ254" s="66"/>
      <c r="RFA254" s="66"/>
      <c r="RFB254" s="66"/>
      <c r="RFC254" s="66"/>
      <c r="RFD254" s="66"/>
      <c r="RFE254" s="66"/>
      <c r="RFF254" s="66"/>
      <c r="RFG254" s="66"/>
      <c r="RFH254" s="66"/>
      <c r="RFI254" s="66"/>
      <c r="RFJ254" s="66"/>
      <c r="RFK254" s="66"/>
      <c r="RFL254" s="66"/>
      <c r="RFM254" s="66"/>
      <c r="RFN254" s="66"/>
      <c r="RFO254" s="66"/>
      <c r="RFP254" s="66"/>
      <c r="RFQ254" s="66"/>
      <c r="RFR254" s="66"/>
      <c r="RFS254" s="66"/>
      <c r="RFT254" s="66"/>
      <c r="RFU254" s="66"/>
      <c r="RFV254" s="66"/>
      <c r="RFW254" s="66"/>
      <c r="RFX254" s="66"/>
      <c r="RFY254" s="66"/>
      <c r="RFZ254" s="66"/>
      <c r="RGA254" s="66"/>
      <c r="RGB254" s="66"/>
      <c r="RGC254" s="66"/>
      <c r="RGD254" s="66"/>
      <c r="RGE254" s="66"/>
      <c r="RGF254" s="66"/>
      <c r="RGG254" s="66"/>
      <c r="RGH254" s="66"/>
      <c r="RGI254" s="66"/>
      <c r="RGJ254" s="66"/>
      <c r="RGK254" s="66"/>
      <c r="RGL254" s="66"/>
      <c r="RGM254" s="66"/>
      <c r="RGN254" s="66"/>
      <c r="RGO254" s="66"/>
      <c r="RGP254" s="66"/>
      <c r="RGQ254" s="66"/>
      <c r="RGR254" s="66"/>
      <c r="RGS254" s="66"/>
      <c r="RGT254" s="66"/>
      <c r="RGU254" s="66"/>
      <c r="RGV254" s="66"/>
      <c r="RGW254" s="66"/>
      <c r="RGX254" s="66"/>
      <c r="RGY254" s="66"/>
      <c r="RGZ254" s="66"/>
      <c r="RHA254" s="66"/>
      <c r="RHB254" s="66"/>
      <c r="RHC254" s="66"/>
      <c r="RHD254" s="66"/>
      <c r="RHE254" s="66"/>
      <c r="RHF254" s="66"/>
      <c r="RHG254" s="66"/>
      <c r="RHH254" s="66"/>
      <c r="RHI254" s="66"/>
      <c r="RHJ254" s="66"/>
      <c r="RHK254" s="66"/>
      <c r="RHL254" s="66"/>
      <c r="RHM254" s="66"/>
      <c r="RHN254" s="66"/>
      <c r="RHO254" s="66"/>
      <c r="RHP254" s="66"/>
      <c r="RHQ254" s="66"/>
      <c r="RHR254" s="66"/>
      <c r="RHS254" s="66"/>
      <c r="RHT254" s="66"/>
      <c r="RHU254" s="66"/>
      <c r="RHV254" s="66"/>
      <c r="RHW254" s="66"/>
      <c r="RHX254" s="66"/>
      <c r="RHY254" s="66"/>
      <c r="RHZ254" s="66"/>
      <c r="RIA254" s="66"/>
      <c r="RIB254" s="66"/>
      <c r="RIC254" s="66"/>
      <c r="RID254" s="66"/>
      <c r="RIE254" s="66"/>
      <c r="RIF254" s="66"/>
      <c r="RIG254" s="66"/>
      <c r="RIH254" s="66"/>
      <c r="RII254" s="66"/>
      <c r="RIJ254" s="66"/>
      <c r="RIK254" s="66"/>
      <c r="RIL254" s="66"/>
      <c r="RIM254" s="66"/>
      <c r="RIN254" s="66"/>
      <c r="RIO254" s="66"/>
      <c r="RIP254" s="66"/>
      <c r="RIQ254" s="66"/>
      <c r="RIR254" s="66"/>
      <c r="RIS254" s="66"/>
      <c r="RIT254" s="66"/>
      <c r="RIU254" s="66"/>
      <c r="RIV254" s="66"/>
      <c r="RIW254" s="66"/>
      <c r="RIX254" s="66"/>
      <c r="RIY254" s="66"/>
      <c r="RIZ254" s="66"/>
      <c r="RJA254" s="66"/>
      <c r="RJB254" s="66"/>
      <c r="RJC254" s="66"/>
      <c r="RJD254" s="66"/>
      <c r="RJE254" s="66"/>
      <c r="RJF254" s="66"/>
      <c r="RJG254" s="66"/>
      <c r="RJH254" s="66"/>
      <c r="RJI254" s="66"/>
      <c r="RJJ254" s="66"/>
      <c r="RJK254" s="66"/>
      <c r="RJL254" s="66"/>
      <c r="RJM254" s="66"/>
      <c r="RJN254" s="66"/>
      <c r="RJO254" s="66"/>
      <c r="RJP254" s="66"/>
      <c r="RJQ254" s="66"/>
      <c r="RJR254" s="66"/>
      <c r="RJS254" s="66"/>
      <c r="RJT254" s="66"/>
      <c r="RJU254" s="66"/>
      <c r="RJV254" s="66"/>
      <c r="RJW254" s="66"/>
      <c r="RJX254" s="66"/>
      <c r="RJY254" s="66"/>
      <c r="RJZ254" s="66"/>
      <c r="RKA254" s="66"/>
      <c r="RKB254" s="66"/>
      <c r="RKC254" s="66"/>
      <c r="RKD254" s="66"/>
      <c r="RKE254" s="66"/>
      <c r="RKF254" s="66"/>
      <c r="RKG254" s="66"/>
      <c r="RKH254" s="66"/>
      <c r="RKI254" s="66"/>
      <c r="RKJ254" s="66"/>
      <c r="RKK254" s="66"/>
      <c r="RKL254" s="66"/>
      <c r="RKM254" s="66"/>
      <c r="RKN254" s="66"/>
      <c r="RKO254" s="66"/>
      <c r="RKP254" s="66"/>
      <c r="RKQ254" s="66"/>
      <c r="RKR254" s="66"/>
      <c r="RKS254" s="66"/>
      <c r="RKT254" s="66"/>
      <c r="RKU254" s="66"/>
      <c r="RKV254" s="66"/>
      <c r="RKW254" s="66"/>
      <c r="RKX254" s="66"/>
      <c r="RKY254" s="66"/>
      <c r="RKZ254" s="66"/>
      <c r="RLA254" s="66"/>
      <c r="RLB254" s="66"/>
      <c r="RLC254" s="66"/>
      <c r="RLD254" s="66"/>
      <c r="RLE254" s="66"/>
      <c r="RLF254" s="66"/>
      <c r="RLG254" s="66"/>
      <c r="RLH254" s="66"/>
      <c r="RLI254" s="66"/>
      <c r="RLJ254" s="66"/>
      <c r="RLK254" s="66"/>
      <c r="RLL254" s="66"/>
      <c r="RLM254" s="66"/>
      <c r="RLN254" s="66"/>
      <c r="RLO254" s="66"/>
      <c r="RLP254" s="66"/>
      <c r="RLQ254" s="66"/>
      <c r="RLR254" s="66"/>
      <c r="RLS254" s="66"/>
      <c r="RLT254" s="66"/>
      <c r="RLU254" s="66"/>
      <c r="RLV254" s="66"/>
      <c r="RLW254" s="66"/>
      <c r="RLX254" s="66"/>
      <c r="RLY254" s="66"/>
      <c r="RLZ254" s="66"/>
      <c r="RMA254" s="66"/>
      <c r="RMB254" s="66"/>
      <c r="RMC254" s="66"/>
      <c r="RMD254" s="66"/>
      <c r="RME254" s="66"/>
      <c r="RMF254" s="66"/>
      <c r="RMG254" s="66"/>
      <c r="RMH254" s="66"/>
      <c r="RMI254" s="66"/>
      <c r="RMJ254" s="66"/>
      <c r="RMK254" s="66"/>
      <c r="RML254" s="66"/>
      <c r="RMM254" s="66"/>
      <c r="RMN254" s="66"/>
      <c r="RMO254" s="66"/>
      <c r="RMP254" s="66"/>
      <c r="RMQ254" s="66"/>
      <c r="RMR254" s="66"/>
      <c r="RMS254" s="66"/>
      <c r="RMT254" s="66"/>
      <c r="RMU254" s="66"/>
      <c r="RMV254" s="66"/>
      <c r="RMW254" s="66"/>
      <c r="RMX254" s="66"/>
      <c r="RMY254" s="66"/>
      <c r="RMZ254" s="66"/>
      <c r="RNA254" s="66"/>
      <c r="RNB254" s="66"/>
      <c r="RNC254" s="66"/>
      <c r="RND254" s="66"/>
      <c r="RNE254" s="66"/>
      <c r="RNF254" s="66"/>
      <c r="RNG254" s="66"/>
      <c r="RNH254" s="66"/>
      <c r="RNI254" s="66"/>
      <c r="RNJ254" s="66"/>
      <c r="RNK254" s="66"/>
      <c r="RNL254" s="66"/>
      <c r="RNM254" s="66"/>
      <c r="RNN254" s="66"/>
      <c r="RNO254" s="66"/>
      <c r="RNP254" s="66"/>
      <c r="RNQ254" s="66"/>
      <c r="RNR254" s="66"/>
      <c r="RNS254" s="66"/>
      <c r="RNT254" s="66"/>
      <c r="RNU254" s="66"/>
      <c r="RNV254" s="66"/>
      <c r="RNW254" s="66"/>
      <c r="RNX254" s="66"/>
      <c r="RNY254" s="66"/>
      <c r="RNZ254" s="66"/>
      <c r="ROA254" s="66"/>
      <c r="ROB254" s="66"/>
      <c r="ROC254" s="66"/>
      <c r="ROD254" s="66"/>
      <c r="ROE254" s="66"/>
      <c r="ROF254" s="66"/>
      <c r="ROG254" s="66"/>
      <c r="ROH254" s="66"/>
      <c r="ROI254" s="66"/>
      <c r="ROJ254" s="66"/>
      <c r="ROK254" s="66"/>
      <c r="ROL254" s="66"/>
      <c r="ROM254" s="66"/>
      <c r="RON254" s="66"/>
      <c r="ROO254" s="66"/>
      <c r="ROP254" s="66"/>
      <c r="ROQ254" s="66"/>
      <c r="ROR254" s="66"/>
      <c r="ROS254" s="66"/>
      <c r="ROT254" s="66"/>
      <c r="ROU254" s="66"/>
      <c r="ROV254" s="66"/>
      <c r="ROW254" s="66"/>
      <c r="ROX254" s="66"/>
      <c r="ROY254" s="66"/>
      <c r="ROZ254" s="66"/>
      <c r="RPA254" s="66"/>
      <c r="RPB254" s="66"/>
      <c r="RPC254" s="66"/>
      <c r="RPD254" s="66"/>
      <c r="RPE254" s="66"/>
      <c r="RPF254" s="66"/>
      <c r="RPG254" s="66"/>
      <c r="RPH254" s="66"/>
      <c r="RPI254" s="66"/>
      <c r="RPJ254" s="66"/>
      <c r="RPK254" s="66"/>
      <c r="RPL254" s="66"/>
      <c r="RPM254" s="66"/>
      <c r="RPN254" s="66"/>
      <c r="RPO254" s="66"/>
      <c r="RPP254" s="66"/>
      <c r="RPQ254" s="66"/>
      <c r="RPR254" s="66"/>
      <c r="RPS254" s="66"/>
      <c r="RPT254" s="66"/>
      <c r="RPU254" s="66"/>
      <c r="RPV254" s="66"/>
      <c r="RPW254" s="66"/>
      <c r="RPX254" s="66"/>
      <c r="RPY254" s="66"/>
      <c r="RPZ254" s="66"/>
      <c r="RQA254" s="66"/>
      <c r="RQB254" s="66"/>
      <c r="RQC254" s="66"/>
      <c r="RQD254" s="66"/>
      <c r="RQE254" s="66"/>
      <c r="RQF254" s="66"/>
      <c r="RQG254" s="66"/>
      <c r="RQH254" s="66"/>
      <c r="RQI254" s="66"/>
      <c r="RQJ254" s="66"/>
      <c r="RQK254" s="66"/>
      <c r="RQL254" s="66"/>
      <c r="RQM254" s="66"/>
      <c r="RQN254" s="66"/>
      <c r="RQO254" s="66"/>
      <c r="RQP254" s="66"/>
      <c r="RQQ254" s="66"/>
      <c r="RQR254" s="66"/>
      <c r="RQS254" s="66"/>
      <c r="RQT254" s="66"/>
      <c r="RQU254" s="66"/>
      <c r="RQV254" s="66"/>
      <c r="RQW254" s="66"/>
      <c r="RQX254" s="66"/>
      <c r="RQY254" s="66"/>
      <c r="RQZ254" s="66"/>
      <c r="RRA254" s="66"/>
      <c r="RRB254" s="66"/>
      <c r="RRC254" s="66"/>
      <c r="RRD254" s="66"/>
      <c r="RRE254" s="66"/>
      <c r="RRF254" s="66"/>
      <c r="RRG254" s="66"/>
      <c r="RRH254" s="66"/>
      <c r="RRI254" s="66"/>
      <c r="RRJ254" s="66"/>
      <c r="RRK254" s="66"/>
      <c r="RRL254" s="66"/>
      <c r="RRM254" s="66"/>
      <c r="RRN254" s="66"/>
      <c r="RRO254" s="66"/>
      <c r="RRP254" s="66"/>
      <c r="RRQ254" s="66"/>
      <c r="RRR254" s="66"/>
      <c r="RRS254" s="66"/>
      <c r="RRT254" s="66"/>
      <c r="RRU254" s="66"/>
      <c r="RRV254" s="66"/>
      <c r="RRW254" s="66"/>
      <c r="RRX254" s="66"/>
      <c r="RRY254" s="66"/>
      <c r="RRZ254" s="66"/>
      <c r="RSA254" s="66"/>
      <c r="RSB254" s="66"/>
      <c r="RSC254" s="66"/>
      <c r="RSD254" s="66"/>
      <c r="RSE254" s="66"/>
      <c r="RSF254" s="66"/>
      <c r="RSG254" s="66"/>
      <c r="RSH254" s="66"/>
      <c r="RSI254" s="66"/>
      <c r="RSJ254" s="66"/>
      <c r="RSK254" s="66"/>
      <c r="RSL254" s="66"/>
      <c r="RSM254" s="66"/>
      <c r="RSN254" s="66"/>
      <c r="RSO254" s="66"/>
      <c r="RSP254" s="66"/>
      <c r="RSQ254" s="66"/>
      <c r="RSR254" s="66"/>
      <c r="RSS254" s="66"/>
      <c r="RST254" s="66"/>
      <c r="RSU254" s="66"/>
      <c r="RSV254" s="66"/>
      <c r="RSW254" s="66"/>
      <c r="RSX254" s="66"/>
      <c r="RSY254" s="66"/>
      <c r="RSZ254" s="66"/>
      <c r="RTA254" s="66"/>
      <c r="RTB254" s="66"/>
      <c r="RTC254" s="66"/>
      <c r="RTD254" s="66"/>
      <c r="RTE254" s="66"/>
      <c r="RTF254" s="66"/>
      <c r="RTG254" s="66"/>
      <c r="RTH254" s="66"/>
      <c r="RTI254" s="66"/>
      <c r="RTJ254" s="66"/>
      <c r="RTK254" s="66"/>
      <c r="RTL254" s="66"/>
      <c r="RTM254" s="66"/>
      <c r="RTN254" s="66"/>
      <c r="RTO254" s="66"/>
      <c r="RTP254" s="66"/>
      <c r="RTQ254" s="66"/>
      <c r="RTR254" s="66"/>
      <c r="RTS254" s="66"/>
      <c r="RTT254" s="66"/>
      <c r="RTU254" s="66"/>
      <c r="RTV254" s="66"/>
      <c r="RTW254" s="66"/>
      <c r="RTX254" s="66"/>
      <c r="RTY254" s="66"/>
      <c r="RTZ254" s="66"/>
      <c r="RUA254" s="66"/>
      <c r="RUB254" s="66"/>
      <c r="RUC254" s="66"/>
      <c r="RUD254" s="66"/>
      <c r="RUE254" s="66"/>
      <c r="RUF254" s="66"/>
      <c r="RUG254" s="66"/>
      <c r="RUH254" s="66"/>
      <c r="RUI254" s="66"/>
      <c r="RUJ254" s="66"/>
      <c r="RUK254" s="66"/>
      <c r="RUL254" s="66"/>
      <c r="RUM254" s="66"/>
      <c r="RUN254" s="66"/>
      <c r="RUO254" s="66"/>
      <c r="RUP254" s="66"/>
      <c r="RUQ254" s="66"/>
      <c r="RUR254" s="66"/>
      <c r="RUS254" s="66"/>
      <c r="RUT254" s="66"/>
      <c r="RUU254" s="66"/>
      <c r="RUV254" s="66"/>
      <c r="RUW254" s="66"/>
      <c r="RUX254" s="66"/>
      <c r="RUY254" s="66"/>
      <c r="RUZ254" s="66"/>
      <c r="RVA254" s="66"/>
      <c r="RVB254" s="66"/>
      <c r="RVC254" s="66"/>
      <c r="RVD254" s="66"/>
      <c r="RVE254" s="66"/>
      <c r="RVF254" s="66"/>
      <c r="RVG254" s="66"/>
      <c r="RVH254" s="66"/>
      <c r="RVI254" s="66"/>
      <c r="RVJ254" s="66"/>
      <c r="RVK254" s="66"/>
      <c r="RVL254" s="66"/>
      <c r="RVM254" s="66"/>
      <c r="RVN254" s="66"/>
      <c r="RVO254" s="66"/>
      <c r="RVP254" s="66"/>
      <c r="RVQ254" s="66"/>
      <c r="RVR254" s="66"/>
      <c r="RVS254" s="66"/>
      <c r="RVT254" s="66"/>
      <c r="RVU254" s="66"/>
      <c r="RVV254" s="66"/>
      <c r="RVW254" s="66"/>
      <c r="RVX254" s="66"/>
      <c r="RVY254" s="66"/>
      <c r="RVZ254" s="66"/>
      <c r="RWA254" s="66"/>
      <c r="RWB254" s="66"/>
      <c r="RWC254" s="66"/>
      <c r="RWD254" s="66"/>
      <c r="RWE254" s="66"/>
      <c r="RWF254" s="66"/>
      <c r="RWG254" s="66"/>
      <c r="RWH254" s="66"/>
      <c r="RWI254" s="66"/>
      <c r="RWJ254" s="66"/>
      <c r="RWK254" s="66"/>
      <c r="RWL254" s="66"/>
      <c r="RWM254" s="66"/>
      <c r="RWN254" s="66"/>
      <c r="RWO254" s="66"/>
      <c r="RWP254" s="66"/>
      <c r="RWQ254" s="66"/>
      <c r="RWR254" s="66"/>
      <c r="RWS254" s="66"/>
      <c r="RWT254" s="66"/>
      <c r="RWU254" s="66"/>
      <c r="RWV254" s="66"/>
      <c r="RWW254" s="66"/>
      <c r="RWX254" s="66"/>
      <c r="RWY254" s="66"/>
      <c r="RWZ254" s="66"/>
      <c r="RXA254" s="66"/>
      <c r="RXB254" s="66"/>
      <c r="RXC254" s="66"/>
      <c r="RXD254" s="66"/>
      <c r="RXE254" s="66"/>
      <c r="RXF254" s="66"/>
      <c r="RXG254" s="66"/>
      <c r="RXH254" s="66"/>
      <c r="RXI254" s="66"/>
      <c r="RXJ254" s="66"/>
      <c r="RXK254" s="66"/>
      <c r="RXL254" s="66"/>
      <c r="RXM254" s="66"/>
      <c r="RXN254" s="66"/>
      <c r="RXO254" s="66"/>
      <c r="RXP254" s="66"/>
      <c r="RXQ254" s="66"/>
      <c r="RXR254" s="66"/>
      <c r="RXS254" s="66"/>
      <c r="RXT254" s="66"/>
      <c r="RXU254" s="66"/>
      <c r="RXV254" s="66"/>
      <c r="RXW254" s="66"/>
      <c r="RXX254" s="66"/>
      <c r="RXY254" s="66"/>
      <c r="RXZ254" s="66"/>
      <c r="RYA254" s="66"/>
      <c r="RYB254" s="66"/>
      <c r="RYC254" s="66"/>
      <c r="RYD254" s="66"/>
      <c r="RYE254" s="66"/>
      <c r="RYF254" s="66"/>
      <c r="RYG254" s="66"/>
      <c r="RYH254" s="66"/>
      <c r="RYI254" s="66"/>
      <c r="RYJ254" s="66"/>
      <c r="RYK254" s="66"/>
      <c r="RYL254" s="66"/>
      <c r="RYM254" s="66"/>
      <c r="RYN254" s="66"/>
      <c r="RYO254" s="66"/>
      <c r="RYP254" s="66"/>
      <c r="RYQ254" s="66"/>
      <c r="RYR254" s="66"/>
      <c r="RYS254" s="66"/>
      <c r="RYT254" s="66"/>
      <c r="RYU254" s="66"/>
      <c r="RYV254" s="66"/>
      <c r="RYW254" s="66"/>
      <c r="RYX254" s="66"/>
      <c r="RYY254" s="66"/>
      <c r="RYZ254" s="66"/>
      <c r="RZA254" s="66"/>
      <c r="RZB254" s="66"/>
      <c r="RZC254" s="66"/>
      <c r="RZD254" s="66"/>
      <c r="RZE254" s="66"/>
      <c r="RZF254" s="66"/>
      <c r="RZG254" s="66"/>
      <c r="RZH254" s="66"/>
      <c r="RZI254" s="66"/>
      <c r="RZJ254" s="66"/>
      <c r="RZK254" s="66"/>
      <c r="RZL254" s="66"/>
      <c r="RZM254" s="66"/>
      <c r="RZN254" s="66"/>
      <c r="RZO254" s="66"/>
      <c r="RZP254" s="66"/>
      <c r="RZQ254" s="66"/>
      <c r="RZR254" s="66"/>
      <c r="RZS254" s="66"/>
      <c r="RZT254" s="66"/>
      <c r="RZU254" s="66"/>
      <c r="RZV254" s="66"/>
      <c r="RZW254" s="66"/>
      <c r="RZX254" s="66"/>
      <c r="RZY254" s="66"/>
      <c r="RZZ254" s="66"/>
      <c r="SAA254" s="66"/>
      <c r="SAB254" s="66"/>
      <c r="SAC254" s="66"/>
      <c r="SAD254" s="66"/>
      <c r="SAE254" s="66"/>
      <c r="SAF254" s="66"/>
      <c r="SAG254" s="66"/>
      <c r="SAH254" s="66"/>
      <c r="SAI254" s="66"/>
      <c r="SAJ254" s="66"/>
      <c r="SAK254" s="66"/>
      <c r="SAL254" s="66"/>
      <c r="SAM254" s="66"/>
      <c r="SAN254" s="66"/>
      <c r="SAO254" s="66"/>
      <c r="SAP254" s="66"/>
      <c r="SAQ254" s="66"/>
      <c r="SAR254" s="66"/>
      <c r="SAS254" s="66"/>
      <c r="SAT254" s="66"/>
      <c r="SAU254" s="66"/>
      <c r="SAV254" s="66"/>
      <c r="SAW254" s="66"/>
      <c r="SAX254" s="66"/>
      <c r="SAY254" s="66"/>
      <c r="SAZ254" s="66"/>
      <c r="SBA254" s="66"/>
      <c r="SBB254" s="66"/>
      <c r="SBC254" s="66"/>
      <c r="SBD254" s="66"/>
      <c r="SBE254" s="66"/>
      <c r="SBF254" s="66"/>
      <c r="SBG254" s="66"/>
      <c r="SBH254" s="66"/>
      <c r="SBI254" s="66"/>
      <c r="SBJ254" s="66"/>
      <c r="SBK254" s="66"/>
      <c r="SBL254" s="66"/>
      <c r="SBM254" s="66"/>
      <c r="SBN254" s="66"/>
      <c r="SBO254" s="66"/>
      <c r="SBP254" s="66"/>
      <c r="SBQ254" s="66"/>
      <c r="SBR254" s="66"/>
      <c r="SBS254" s="66"/>
      <c r="SBT254" s="66"/>
      <c r="SBU254" s="66"/>
      <c r="SBV254" s="66"/>
      <c r="SBW254" s="66"/>
      <c r="SBX254" s="66"/>
      <c r="SBY254" s="66"/>
      <c r="SBZ254" s="66"/>
      <c r="SCA254" s="66"/>
      <c r="SCB254" s="66"/>
      <c r="SCC254" s="66"/>
      <c r="SCD254" s="66"/>
      <c r="SCE254" s="66"/>
      <c r="SCF254" s="66"/>
      <c r="SCG254" s="66"/>
      <c r="SCH254" s="66"/>
      <c r="SCI254" s="66"/>
      <c r="SCJ254" s="66"/>
      <c r="SCK254" s="66"/>
      <c r="SCL254" s="66"/>
      <c r="SCM254" s="66"/>
      <c r="SCN254" s="66"/>
      <c r="SCO254" s="66"/>
      <c r="SCP254" s="66"/>
      <c r="SCQ254" s="66"/>
      <c r="SCR254" s="66"/>
      <c r="SCS254" s="66"/>
      <c r="SCT254" s="66"/>
      <c r="SCU254" s="66"/>
      <c r="SCV254" s="66"/>
      <c r="SCW254" s="66"/>
      <c r="SCX254" s="66"/>
      <c r="SCY254" s="66"/>
      <c r="SCZ254" s="66"/>
      <c r="SDA254" s="66"/>
      <c r="SDB254" s="66"/>
      <c r="SDC254" s="66"/>
      <c r="SDD254" s="66"/>
      <c r="SDE254" s="66"/>
      <c r="SDF254" s="66"/>
      <c r="SDG254" s="66"/>
      <c r="SDH254" s="66"/>
      <c r="SDI254" s="66"/>
      <c r="SDJ254" s="66"/>
      <c r="SDK254" s="66"/>
      <c r="SDL254" s="66"/>
      <c r="SDM254" s="66"/>
      <c r="SDN254" s="66"/>
      <c r="SDO254" s="66"/>
      <c r="SDP254" s="66"/>
      <c r="SDQ254" s="66"/>
      <c r="SDR254" s="66"/>
      <c r="SDS254" s="66"/>
      <c r="SDT254" s="66"/>
      <c r="SDU254" s="66"/>
      <c r="SDV254" s="66"/>
      <c r="SDW254" s="66"/>
      <c r="SDX254" s="66"/>
      <c r="SDY254" s="66"/>
      <c r="SDZ254" s="66"/>
      <c r="SEA254" s="66"/>
      <c r="SEB254" s="66"/>
      <c r="SEC254" s="66"/>
      <c r="SED254" s="66"/>
      <c r="SEE254" s="66"/>
      <c r="SEF254" s="66"/>
      <c r="SEG254" s="66"/>
      <c r="SEH254" s="66"/>
      <c r="SEI254" s="66"/>
      <c r="SEJ254" s="66"/>
      <c r="SEK254" s="66"/>
      <c r="SEL254" s="66"/>
      <c r="SEM254" s="66"/>
      <c r="SEN254" s="66"/>
      <c r="SEO254" s="66"/>
      <c r="SEP254" s="66"/>
      <c r="SEQ254" s="66"/>
      <c r="SER254" s="66"/>
      <c r="SES254" s="66"/>
      <c r="SET254" s="66"/>
      <c r="SEU254" s="66"/>
      <c r="SEV254" s="66"/>
      <c r="SEW254" s="66"/>
      <c r="SEX254" s="66"/>
      <c r="SEY254" s="66"/>
      <c r="SEZ254" s="66"/>
      <c r="SFA254" s="66"/>
      <c r="SFB254" s="66"/>
      <c r="SFC254" s="66"/>
      <c r="SFD254" s="66"/>
      <c r="SFE254" s="66"/>
      <c r="SFF254" s="66"/>
      <c r="SFG254" s="66"/>
      <c r="SFH254" s="66"/>
      <c r="SFI254" s="66"/>
      <c r="SFJ254" s="66"/>
      <c r="SFK254" s="66"/>
      <c r="SFL254" s="66"/>
      <c r="SFM254" s="66"/>
      <c r="SFN254" s="66"/>
      <c r="SFO254" s="66"/>
      <c r="SFP254" s="66"/>
      <c r="SFQ254" s="66"/>
      <c r="SFR254" s="66"/>
      <c r="SFS254" s="66"/>
      <c r="SFT254" s="66"/>
      <c r="SFU254" s="66"/>
      <c r="SFV254" s="66"/>
      <c r="SFW254" s="66"/>
      <c r="SFX254" s="66"/>
      <c r="SFY254" s="66"/>
      <c r="SFZ254" s="66"/>
      <c r="SGA254" s="66"/>
      <c r="SGB254" s="66"/>
      <c r="SGC254" s="66"/>
      <c r="SGD254" s="66"/>
      <c r="SGE254" s="66"/>
      <c r="SGF254" s="66"/>
      <c r="SGG254" s="66"/>
      <c r="SGH254" s="66"/>
      <c r="SGI254" s="66"/>
      <c r="SGJ254" s="66"/>
      <c r="SGK254" s="66"/>
      <c r="SGL254" s="66"/>
      <c r="SGM254" s="66"/>
      <c r="SGN254" s="66"/>
      <c r="SGO254" s="66"/>
      <c r="SGP254" s="66"/>
      <c r="SGQ254" s="66"/>
      <c r="SGR254" s="66"/>
      <c r="SGS254" s="66"/>
      <c r="SGT254" s="66"/>
      <c r="SGU254" s="66"/>
      <c r="SGV254" s="66"/>
      <c r="SGW254" s="66"/>
      <c r="SGX254" s="66"/>
      <c r="SGY254" s="66"/>
      <c r="SGZ254" s="66"/>
      <c r="SHA254" s="66"/>
      <c r="SHB254" s="66"/>
      <c r="SHC254" s="66"/>
      <c r="SHD254" s="66"/>
      <c r="SHE254" s="66"/>
      <c r="SHF254" s="66"/>
      <c r="SHG254" s="66"/>
      <c r="SHH254" s="66"/>
      <c r="SHI254" s="66"/>
      <c r="SHJ254" s="66"/>
      <c r="SHK254" s="66"/>
      <c r="SHL254" s="66"/>
      <c r="SHM254" s="66"/>
      <c r="SHN254" s="66"/>
      <c r="SHO254" s="66"/>
      <c r="SHP254" s="66"/>
      <c r="SHQ254" s="66"/>
      <c r="SHR254" s="66"/>
      <c r="SHS254" s="66"/>
      <c r="SHT254" s="66"/>
      <c r="SHU254" s="66"/>
      <c r="SHV254" s="66"/>
      <c r="SHW254" s="66"/>
      <c r="SHX254" s="66"/>
      <c r="SHY254" s="66"/>
      <c r="SHZ254" s="66"/>
      <c r="SIA254" s="66"/>
      <c r="SIB254" s="66"/>
      <c r="SIC254" s="66"/>
      <c r="SID254" s="66"/>
      <c r="SIE254" s="66"/>
      <c r="SIF254" s="66"/>
      <c r="SIG254" s="66"/>
      <c r="SIH254" s="66"/>
      <c r="SII254" s="66"/>
      <c r="SIJ254" s="66"/>
      <c r="SIK254" s="66"/>
      <c r="SIL254" s="66"/>
      <c r="SIM254" s="66"/>
      <c r="SIN254" s="66"/>
      <c r="SIO254" s="66"/>
      <c r="SIP254" s="66"/>
      <c r="SIQ254" s="66"/>
      <c r="SIR254" s="66"/>
      <c r="SIS254" s="66"/>
      <c r="SIT254" s="66"/>
      <c r="SIU254" s="66"/>
      <c r="SIV254" s="66"/>
      <c r="SIW254" s="66"/>
      <c r="SIX254" s="66"/>
      <c r="SIY254" s="66"/>
      <c r="SIZ254" s="66"/>
      <c r="SJA254" s="66"/>
      <c r="SJB254" s="66"/>
      <c r="SJC254" s="66"/>
      <c r="SJD254" s="66"/>
      <c r="SJE254" s="66"/>
      <c r="SJF254" s="66"/>
      <c r="SJG254" s="66"/>
      <c r="SJH254" s="66"/>
      <c r="SJI254" s="66"/>
      <c r="SJJ254" s="66"/>
      <c r="SJK254" s="66"/>
      <c r="SJL254" s="66"/>
      <c r="SJM254" s="66"/>
      <c r="SJN254" s="66"/>
      <c r="SJO254" s="66"/>
      <c r="SJP254" s="66"/>
      <c r="SJQ254" s="66"/>
      <c r="SJR254" s="66"/>
      <c r="SJS254" s="66"/>
      <c r="SJT254" s="66"/>
      <c r="SJU254" s="66"/>
      <c r="SJV254" s="66"/>
      <c r="SJW254" s="66"/>
      <c r="SJX254" s="66"/>
      <c r="SJY254" s="66"/>
      <c r="SJZ254" s="66"/>
      <c r="SKA254" s="66"/>
      <c r="SKB254" s="66"/>
      <c r="SKC254" s="66"/>
      <c r="SKD254" s="66"/>
      <c r="SKE254" s="66"/>
      <c r="SKF254" s="66"/>
      <c r="SKG254" s="66"/>
      <c r="SKH254" s="66"/>
      <c r="SKI254" s="66"/>
      <c r="SKJ254" s="66"/>
      <c r="SKK254" s="66"/>
      <c r="SKL254" s="66"/>
      <c r="SKM254" s="66"/>
      <c r="SKN254" s="66"/>
      <c r="SKO254" s="66"/>
      <c r="SKP254" s="66"/>
      <c r="SKQ254" s="66"/>
      <c r="SKR254" s="66"/>
      <c r="SKS254" s="66"/>
      <c r="SKT254" s="66"/>
      <c r="SKU254" s="66"/>
      <c r="SKV254" s="66"/>
      <c r="SKW254" s="66"/>
      <c r="SKX254" s="66"/>
      <c r="SKY254" s="66"/>
      <c r="SKZ254" s="66"/>
      <c r="SLA254" s="66"/>
      <c r="SLB254" s="66"/>
      <c r="SLC254" s="66"/>
      <c r="SLD254" s="66"/>
      <c r="SLE254" s="66"/>
      <c r="SLF254" s="66"/>
      <c r="SLG254" s="66"/>
      <c r="SLH254" s="66"/>
      <c r="SLI254" s="66"/>
      <c r="SLJ254" s="66"/>
      <c r="SLK254" s="66"/>
      <c r="SLL254" s="66"/>
      <c r="SLM254" s="66"/>
      <c r="SLN254" s="66"/>
      <c r="SLO254" s="66"/>
      <c r="SLP254" s="66"/>
      <c r="SLQ254" s="66"/>
      <c r="SLR254" s="66"/>
      <c r="SLS254" s="66"/>
      <c r="SLT254" s="66"/>
      <c r="SLU254" s="66"/>
      <c r="SLV254" s="66"/>
      <c r="SLW254" s="66"/>
      <c r="SLX254" s="66"/>
      <c r="SLY254" s="66"/>
      <c r="SLZ254" s="66"/>
      <c r="SMA254" s="66"/>
      <c r="SMB254" s="66"/>
      <c r="SMC254" s="66"/>
      <c r="SMD254" s="66"/>
      <c r="SME254" s="66"/>
      <c r="SMF254" s="66"/>
      <c r="SMG254" s="66"/>
      <c r="SMH254" s="66"/>
      <c r="SMI254" s="66"/>
      <c r="SMJ254" s="66"/>
      <c r="SMK254" s="66"/>
      <c r="SML254" s="66"/>
      <c r="SMM254" s="66"/>
      <c r="SMN254" s="66"/>
      <c r="SMO254" s="66"/>
      <c r="SMP254" s="66"/>
      <c r="SMQ254" s="66"/>
      <c r="SMR254" s="66"/>
      <c r="SMS254" s="66"/>
      <c r="SMT254" s="66"/>
      <c r="SMU254" s="66"/>
      <c r="SMV254" s="66"/>
      <c r="SMW254" s="66"/>
      <c r="SMX254" s="66"/>
      <c r="SMY254" s="66"/>
      <c r="SMZ254" s="66"/>
      <c r="SNA254" s="66"/>
      <c r="SNB254" s="66"/>
      <c r="SNC254" s="66"/>
      <c r="SND254" s="66"/>
      <c r="SNE254" s="66"/>
      <c r="SNF254" s="66"/>
      <c r="SNG254" s="66"/>
      <c r="SNH254" s="66"/>
      <c r="SNI254" s="66"/>
      <c r="SNJ254" s="66"/>
      <c r="SNK254" s="66"/>
      <c r="SNL254" s="66"/>
      <c r="SNM254" s="66"/>
      <c r="SNN254" s="66"/>
      <c r="SNO254" s="66"/>
      <c r="SNP254" s="66"/>
      <c r="SNQ254" s="66"/>
      <c r="SNR254" s="66"/>
      <c r="SNS254" s="66"/>
      <c r="SNT254" s="66"/>
      <c r="SNU254" s="66"/>
      <c r="SNV254" s="66"/>
      <c r="SNW254" s="66"/>
      <c r="SNX254" s="66"/>
      <c r="SNY254" s="66"/>
      <c r="SNZ254" s="66"/>
      <c r="SOA254" s="66"/>
      <c r="SOB254" s="66"/>
      <c r="SOC254" s="66"/>
      <c r="SOD254" s="66"/>
      <c r="SOE254" s="66"/>
      <c r="SOF254" s="66"/>
      <c r="SOG254" s="66"/>
      <c r="SOH254" s="66"/>
      <c r="SOI254" s="66"/>
      <c r="SOJ254" s="66"/>
      <c r="SOK254" s="66"/>
      <c r="SOL254" s="66"/>
      <c r="SOM254" s="66"/>
      <c r="SON254" s="66"/>
      <c r="SOO254" s="66"/>
      <c r="SOP254" s="66"/>
      <c r="SOQ254" s="66"/>
      <c r="SOR254" s="66"/>
      <c r="SOS254" s="66"/>
      <c r="SOT254" s="66"/>
      <c r="SOU254" s="66"/>
      <c r="SOV254" s="66"/>
      <c r="SOW254" s="66"/>
      <c r="SOX254" s="66"/>
      <c r="SOY254" s="66"/>
      <c r="SOZ254" s="66"/>
      <c r="SPA254" s="66"/>
      <c r="SPB254" s="66"/>
      <c r="SPC254" s="66"/>
      <c r="SPD254" s="66"/>
      <c r="SPE254" s="66"/>
      <c r="SPF254" s="66"/>
      <c r="SPG254" s="66"/>
      <c r="SPH254" s="66"/>
      <c r="SPI254" s="66"/>
      <c r="SPJ254" s="66"/>
      <c r="SPK254" s="66"/>
      <c r="SPL254" s="66"/>
      <c r="SPM254" s="66"/>
      <c r="SPN254" s="66"/>
      <c r="SPO254" s="66"/>
      <c r="SPP254" s="66"/>
      <c r="SPQ254" s="66"/>
      <c r="SPR254" s="66"/>
      <c r="SPS254" s="66"/>
      <c r="SPT254" s="66"/>
      <c r="SPU254" s="66"/>
      <c r="SPV254" s="66"/>
      <c r="SPW254" s="66"/>
      <c r="SPX254" s="66"/>
      <c r="SPY254" s="66"/>
      <c r="SPZ254" s="66"/>
      <c r="SQA254" s="66"/>
      <c r="SQB254" s="66"/>
      <c r="SQC254" s="66"/>
      <c r="SQD254" s="66"/>
      <c r="SQE254" s="66"/>
      <c r="SQF254" s="66"/>
      <c r="SQG254" s="66"/>
      <c r="SQH254" s="66"/>
      <c r="SQI254" s="66"/>
      <c r="SQJ254" s="66"/>
      <c r="SQK254" s="66"/>
      <c r="SQL254" s="66"/>
      <c r="SQM254" s="66"/>
      <c r="SQN254" s="66"/>
      <c r="SQO254" s="66"/>
      <c r="SQP254" s="66"/>
      <c r="SQQ254" s="66"/>
      <c r="SQR254" s="66"/>
      <c r="SQS254" s="66"/>
      <c r="SQT254" s="66"/>
      <c r="SQU254" s="66"/>
      <c r="SQV254" s="66"/>
      <c r="SQW254" s="66"/>
      <c r="SQX254" s="66"/>
      <c r="SQY254" s="66"/>
      <c r="SQZ254" s="66"/>
      <c r="SRA254" s="66"/>
      <c r="SRB254" s="66"/>
      <c r="SRC254" s="66"/>
      <c r="SRD254" s="66"/>
      <c r="SRE254" s="66"/>
      <c r="SRF254" s="66"/>
      <c r="SRG254" s="66"/>
      <c r="SRH254" s="66"/>
      <c r="SRI254" s="66"/>
      <c r="SRJ254" s="66"/>
      <c r="SRK254" s="66"/>
      <c r="SRL254" s="66"/>
      <c r="SRM254" s="66"/>
      <c r="SRN254" s="66"/>
      <c r="SRO254" s="66"/>
      <c r="SRP254" s="66"/>
      <c r="SRQ254" s="66"/>
      <c r="SRR254" s="66"/>
      <c r="SRS254" s="66"/>
      <c r="SRT254" s="66"/>
      <c r="SRU254" s="66"/>
      <c r="SRV254" s="66"/>
      <c r="SRW254" s="66"/>
      <c r="SRX254" s="66"/>
      <c r="SRY254" s="66"/>
      <c r="SRZ254" s="66"/>
      <c r="SSA254" s="66"/>
      <c r="SSB254" s="66"/>
      <c r="SSC254" s="66"/>
      <c r="SSD254" s="66"/>
      <c r="SSE254" s="66"/>
      <c r="SSF254" s="66"/>
      <c r="SSG254" s="66"/>
      <c r="SSH254" s="66"/>
      <c r="SSI254" s="66"/>
      <c r="SSJ254" s="66"/>
      <c r="SSK254" s="66"/>
      <c r="SSL254" s="66"/>
      <c r="SSM254" s="66"/>
      <c r="SSN254" s="66"/>
      <c r="SSO254" s="66"/>
      <c r="SSP254" s="66"/>
      <c r="SSQ254" s="66"/>
      <c r="SSR254" s="66"/>
      <c r="SSS254" s="66"/>
      <c r="SST254" s="66"/>
      <c r="SSU254" s="66"/>
      <c r="SSV254" s="66"/>
      <c r="SSW254" s="66"/>
      <c r="SSX254" s="66"/>
      <c r="SSY254" s="66"/>
      <c r="SSZ254" s="66"/>
      <c r="STA254" s="66"/>
      <c r="STB254" s="66"/>
      <c r="STC254" s="66"/>
      <c r="STD254" s="66"/>
      <c r="STE254" s="66"/>
      <c r="STF254" s="66"/>
      <c r="STG254" s="66"/>
      <c r="STH254" s="66"/>
      <c r="STI254" s="66"/>
      <c r="STJ254" s="66"/>
      <c r="STK254" s="66"/>
      <c r="STL254" s="66"/>
      <c r="STM254" s="66"/>
      <c r="STN254" s="66"/>
      <c r="STO254" s="66"/>
      <c r="STP254" s="66"/>
      <c r="STQ254" s="66"/>
      <c r="STR254" s="66"/>
      <c r="STS254" s="66"/>
      <c r="STT254" s="66"/>
      <c r="STU254" s="66"/>
      <c r="STV254" s="66"/>
      <c r="STW254" s="66"/>
      <c r="STX254" s="66"/>
      <c r="STY254" s="66"/>
      <c r="STZ254" s="66"/>
      <c r="SUA254" s="66"/>
      <c r="SUB254" s="66"/>
      <c r="SUC254" s="66"/>
      <c r="SUD254" s="66"/>
      <c r="SUE254" s="66"/>
      <c r="SUF254" s="66"/>
      <c r="SUG254" s="66"/>
      <c r="SUH254" s="66"/>
      <c r="SUI254" s="66"/>
      <c r="SUJ254" s="66"/>
      <c r="SUK254" s="66"/>
      <c r="SUL254" s="66"/>
      <c r="SUM254" s="66"/>
      <c r="SUN254" s="66"/>
      <c r="SUO254" s="66"/>
      <c r="SUP254" s="66"/>
      <c r="SUQ254" s="66"/>
      <c r="SUR254" s="66"/>
      <c r="SUS254" s="66"/>
      <c r="SUT254" s="66"/>
      <c r="SUU254" s="66"/>
      <c r="SUV254" s="66"/>
      <c r="SUW254" s="66"/>
      <c r="SUX254" s="66"/>
      <c r="SUY254" s="66"/>
      <c r="SUZ254" s="66"/>
      <c r="SVA254" s="66"/>
      <c r="SVB254" s="66"/>
      <c r="SVC254" s="66"/>
      <c r="SVD254" s="66"/>
      <c r="SVE254" s="66"/>
      <c r="SVF254" s="66"/>
      <c r="SVG254" s="66"/>
      <c r="SVH254" s="66"/>
      <c r="SVI254" s="66"/>
      <c r="SVJ254" s="66"/>
      <c r="SVK254" s="66"/>
      <c r="SVL254" s="66"/>
      <c r="SVM254" s="66"/>
      <c r="SVN254" s="66"/>
      <c r="SVO254" s="66"/>
      <c r="SVP254" s="66"/>
      <c r="SVQ254" s="66"/>
      <c r="SVR254" s="66"/>
      <c r="SVS254" s="66"/>
      <c r="SVT254" s="66"/>
      <c r="SVU254" s="66"/>
      <c r="SVV254" s="66"/>
      <c r="SVW254" s="66"/>
      <c r="SVX254" s="66"/>
      <c r="SVY254" s="66"/>
      <c r="SVZ254" s="66"/>
      <c r="SWA254" s="66"/>
      <c r="SWB254" s="66"/>
      <c r="SWC254" s="66"/>
      <c r="SWD254" s="66"/>
      <c r="SWE254" s="66"/>
      <c r="SWF254" s="66"/>
      <c r="SWG254" s="66"/>
      <c r="SWH254" s="66"/>
      <c r="SWI254" s="66"/>
      <c r="SWJ254" s="66"/>
      <c r="SWK254" s="66"/>
      <c r="SWL254" s="66"/>
      <c r="SWM254" s="66"/>
      <c r="SWN254" s="66"/>
      <c r="SWO254" s="66"/>
      <c r="SWP254" s="66"/>
      <c r="SWQ254" s="66"/>
      <c r="SWR254" s="66"/>
      <c r="SWS254" s="66"/>
      <c r="SWT254" s="66"/>
      <c r="SWU254" s="66"/>
      <c r="SWV254" s="66"/>
      <c r="SWW254" s="66"/>
      <c r="SWX254" s="66"/>
      <c r="SWY254" s="66"/>
      <c r="SWZ254" s="66"/>
      <c r="SXA254" s="66"/>
      <c r="SXB254" s="66"/>
      <c r="SXC254" s="66"/>
      <c r="SXD254" s="66"/>
      <c r="SXE254" s="66"/>
      <c r="SXF254" s="66"/>
      <c r="SXG254" s="66"/>
      <c r="SXH254" s="66"/>
      <c r="SXI254" s="66"/>
      <c r="SXJ254" s="66"/>
      <c r="SXK254" s="66"/>
      <c r="SXL254" s="66"/>
      <c r="SXM254" s="66"/>
      <c r="SXN254" s="66"/>
      <c r="SXO254" s="66"/>
      <c r="SXP254" s="66"/>
      <c r="SXQ254" s="66"/>
      <c r="SXR254" s="66"/>
      <c r="SXS254" s="66"/>
      <c r="SXT254" s="66"/>
      <c r="SXU254" s="66"/>
      <c r="SXV254" s="66"/>
      <c r="SXW254" s="66"/>
      <c r="SXX254" s="66"/>
      <c r="SXY254" s="66"/>
      <c r="SXZ254" s="66"/>
      <c r="SYA254" s="66"/>
      <c r="SYB254" s="66"/>
      <c r="SYC254" s="66"/>
      <c r="SYD254" s="66"/>
      <c r="SYE254" s="66"/>
      <c r="SYF254" s="66"/>
      <c r="SYG254" s="66"/>
      <c r="SYH254" s="66"/>
      <c r="SYI254" s="66"/>
      <c r="SYJ254" s="66"/>
      <c r="SYK254" s="66"/>
      <c r="SYL254" s="66"/>
      <c r="SYM254" s="66"/>
      <c r="SYN254" s="66"/>
      <c r="SYO254" s="66"/>
      <c r="SYP254" s="66"/>
      <c r="SYQ254" s="66"/>
      <c r="SYR254" s="66"/>
      <c r="SYS254" s="66"/>
      <c r="SYT254" s="66"/>
      <c r="SYU254" s="66"/>
      <c r="SYV254" s="66"/>
      <c r="SYW254" s="66"/>
      <c r="SYX254" s="66"/>
      <c r="SYY254" s="66"/>
      <c r="SYZ254" s="66"/>
      <c r="SZA254" s="66"/>
      <c r="SZB254" s="66"/>
      <c r="SZC254" s="66"/>
      <c r="SZD254" s="66"/>
      <c r="SZE254" s="66"/>
      <c r="SZF254" s="66"/>
      <c r="SZG254" s="66"/>
      <c r="SZH254" s="66"/>
      <c r="SZI254" s="66"/>
      <c r="SZJ254" s="66"/>
      <c r="SZK254" s="66"/>
      <c r="SZL254" s="66"/>
      <c r="SZM254" s="66"/>
      <c r="SZN254" s="66"/>
      <c r="SZO254" s="66"/>
      <c r="SZP254" s="66"/>
      <c r="SZQ254" s="66"/>
      <c r="SZR254" s="66"/>
      <c r="SZS254" s="66"/>
      <c r="SZT254" s="66"/>
      <c r="SZU254" s="66"/>
      <c r="SZV254" s="66"/>
      <c r="SZW254" s="66"/>
      <c r="SZX254" s="66"/>
      <c r="SZY254" s="66"/>
      <c r="SZZ254" s="66"/>
      <c r="TAA254" s="66"/>
      <c r="TAB254" s="66"/>
      <c r="TAC254" s="66"/>
      <c r="TAD254" s="66"/>
      <c r="TAE254" s="66"/>
      <c r="TAF254" s="66"/>
      <c r="TAG254" s="66"/>
      <c r="TAH254" s="66"/>
      <c r="TAI254" s="66"/>
      <c r="TAJ254" s="66"/>
      <c r="TAK254" s="66"/>
      <c r="TAL254" s="66"/>
      <c r="TAM254" s="66"/>
      <c r="TAN254" s="66"/>
      <c r="TAO254" s="66"/>
      <c r="TAP254" s="66"/>
      <c r="TAQ254" s="66"/>
      <c r="TAR254" s="66"/>
      <c r="TAS254" s="66"/>
      <c r="TAT254" s="66"/>
      <c r="TAU254" s="66"/>
      <c r="TAV254" s="66"/>
      <c r="TAW254" s="66"/>
      <c r="TAX254" s="66"/>
      <c r="TAY254" s="66"/>
      <c r="TAZ254" s="66"/>
      <c r="TBA254" s="66"/>
      <c r="TBB254" s="66"/>
      <c r="TBC254" s="66"/>
      <c r="TBD254" s="66"/>
      <c r="TBE254" s="66"/>
      <c r="TBF254" s="66"/>
      <c r="TBG254" s="66"/>
      <c r="TBH254" s="66"/>
      <c r="TBI254" s="66"/>
      <c r="TBJ254" s="66"/>
      <c r="TBK254" s="66"/>
      <c r="TBL254" s="66"/>
      <c r="TBM254" s="66"/>
      <c r="TBN254" s="66"/>
      <c r="TBO254" s="66"/>
      <c r="TBP254" s="66"/>
      <c r="TBQ254" s="66"/>
      <c r="TBR254" s="66"/>
      <c r="TBS254" s="66"/>
      <c r="TBT254" s="66"/>
      <c r="TBU254" s="66"/>
      <c r="TBV254" s="66"/>
      <c r="TBW254" s="66"/>
      <c r="TBX254" s="66"/>
      <c r="TBY254" s="66"/>
      <c r="TBZ254" s="66"/>
      <c r="TCA254" s="66"/>
      <c r="TCB254" s="66"/>
      <c r="TCC254" s="66"/>
      <c r="TCD254" s="66"/>
      <c r="TCE254" s="66"/>
      <c r="TCF254" s="66"/>
      <c r="TCG254" s="66"/>
      <c r="TCH254" s="66"/>
      <c r="TCI254" s="66"/>
      <c r="TCJ254" s="66"/>
      <c r="TCK254" s="66"/>
      <c r="TCL254" s="66"/>
      <c r="TCM254" s="66"/>
      <c r="TCN254" s="66"/>
      <c r="TCO254" s="66"/>
      <c r="TCP254" s="66"/>
      <c r="TCQ254" s="66"/>
      <c r="TCR254" s="66"/>
      <c r="TCS254" s="66"/>
      <c r="TCT254" s="66"/>
      <c r="TCU254" s="66"/>
      <c r="TCV254" s="66"/>
      <c r="TCW254" s="66"/>
      <c r="TCX254" s="66"/>
      <c r="TCY254" s="66"/>
      <c r="TCZ254" s="66"/>
      <c r="TDA254" s="66"/>
      <c r="TDB254" s="66"/>
      <c r="TDC254" s="66"/>
      <c r="TDD254" s="66"/>
      <c r="TDE254" s="66"/>
      <c r="TDF254" s="66"/>
      <c r="TDG254" s="66"/>
      <c r="TDH254" s="66"/>
      <c r="TDI254" s="66"/>
      <c r="TDJ254" s="66"/>
      <c r="TDK254" s="66"/>
      <c r="TDL254" s="66"/>
      <c r="TDM254" s="66"/>
      <c r="TDN254" s="66"/>
      <c r="TDO254" s="66"/>
      <c r="TDP254" s="66"/>
      <c r="TDQ254" s="66"/>
      <c r="TDR254" s="66"/>
      <c r="TDS254" s="66"/>
      <c r="TDT254" s="66"/>
      <c r="TDU254" s="66"/>
      <c r="TDV254" s="66"/>
      <c r="TDW254" s="66"/>
      <c r="TDX254" s="66"/>
      <c r="TDY254" s="66"/>
      <c r="TDZ254" s="66"/>
      <c r="TEA254" s="66"/>
      <c r="TEB254" s="66"/>
      <c r="TEC254" s="66"/>
      <c r="TED254" s="66"/>
      <c r="TEE254" s="66"/>
      <c r="TEF254" s="66"/>
      <c r="TEG254" s="66"/>
      <c r="TEH254" s="66"/>
      <c r="TEI254" s="66"/>
      <c r="TEJ254" s="66"/>
      <c r="TEK254" s="66"/>
      <c r="TEL254" s="66"/>
      <c r="TEM254" s="66"/>
      <c r="TEN254" s="66"/>
      <c r="TEO254" s="66"/>
      <c r="TEP254" s="66"/>
      <c r="TEQ254" s="66"/>
      <c r="TER254" s="66"/>
      <c r="TES254" s="66"/>
      <c r="TET254" s="66"/>
      <c r="TEU254" s="66"/>
      <c r="TEV254" s="66"/>
      <c r="TEW254" s="66"/>
      <c r="TEX254" s="66"/>
      <c r="TEY254" s="66"/>
      <c r="TEZ254" s="66"/>
      <c r="TFA254" s="66"/>
      <c r="TFB254" s="66"/>
      <c r="TFC254" s="66"/>
      <c r="TFD254" s="66"/>
      <c r="TFE254" s="66"/>
      <c r="TFF254" s="66"/>
      <c r="TFG254" s="66"/>
      <c r="TFH254" s="66"/>
      <c r="TFI254" s="66"/>
      <c r="TFJ254" s="66"/>
      <c r="TFK254" s="66"/>
      <c r="TFL254" s="66"/>
      <c r="TFM254" s="66"/>
      <c r="TFN254" s="66"/>
      <c r="TFO254" s="66"/>
      <c r="TFP254" s="66"/>
      <c r="TFQ254" s="66"/>
      <c r="TFR254" s="66"/>
      <c r="TFS254" s="66"/>
      <c r="TFT254" s="66"/>
      <c r="TFU254" s="66"/>
      <c r="TFV254" s="66"/>
      <c r="TFW254" s="66"/>
      <c r="TFX254" s="66"/>
      <c r="TFY254" s="66"/>
      <c r="TFZ254" s="66"/>
      <c r="TGA254" s="66"/>
      <c r="TGB254" s="66"/>
      <c r="TGC254" s="66"/>
      <c r="TGD254" s="66"/>
      <c r="TGE254" s="66"/>
      <c r="TGF254" s="66"/>
      <c r="TGG254" s="66"/>
      <c r="TGH254" s="66"/>
      <c r="TGI254" s="66"/>
      <c r="TGJ254" s="66"/>
      <c r="TGK254" s="66"/>
      <c r="TGL254" s="66"/>
      <c r="TGM254" s="66"/>
      <c r="TGN254" s="66"/>
      <c r="TGO254" s="66"/>
      <c r="TGP254" s="66"/>
      <c r="TGQ254" s="66"/>
      <c r="TGR254" s="66"/>
      <c r="TGS254" s="66"/>
      <c r="TGT254" s="66"/>
      <c r="TGU254" s="66"/>
      <c r="TGV254" s="66"/>
      <c r="TGW254" s="66"/>
      <c r="TGX254" s="66"/>
      <c r="TGY254" s="66"/>
      <c r="TGZ254" s="66"/>
      <c r="THA254" s="66"/>
      <c r="THB254" s="66"/>
      <c r="THC254" s="66"/>
      <c r="THD254" s="66"/>
      <c r="THE254" s="66"/>
      <c r="THF254" s="66"/>
      <c r="THG254" s="66"/>
      <c r="THH254" s="66"/>
      <c r="THI254" s="66"/>
      <c r="THJ254" s="66"/>
      <c r="THK254" s="66"/>
      <c r="THL254" s="66"/>
      <c r="THM254" s="66"/>
      <c r="THN254" s="66"/>
      <c r="THO254" s="66"/>
      <c r="THP254" s="66"/>
      <c r="THQ254" s="66"/>
      <c r="THR254" s="66"/>
      <c r="THS254" s="66"/>
      <c r="THT254" s="66"/>
      <c r="THU254" s="66"/>
      <c r="THV254" s="66"/>
      <c r="THW254" s="66"/>
      <c r="THX254" s="66"/>
      <c r="THY254" s="66"/>
      <c r="THZ254" s="66"/>
      <c r="TIA254" s="66"/>
      <c r="TIB254" s="66"/>
      <c r="TIC254" s="66"/>
      <c r="TID254" s="66"/>
      <c r="TIE254" s="66"/>
      <c r="TIF254" s="66"/>
      <c r="TIG254" s="66"/>
      <c r="TIH254" s="66"/>
      <c r="TII254" s="66"/>
      <c r="TIJ254" s="66"/>
      <c r="TIK254" s="66"/>
      <c r="TIL254" s="66"/>
      <c r="TIM254" s="66"/>
      <c r="TIN254" s="66"/>
      <c r="TIO254" s="66"/>
      <c r="TIP254" s="66"/>
      <c r="TIQ254" s="66"/>
      <c r="TIR254" s="66"/>
      <c r="TIS254" s="66"/>
      <c r="TIT254" s="66"/>
      <c r="TIU254" s="66"/>
      <c r="TIV254" s="66"/>
      <c r="TIW254" s="66"/>
      <c r="TIX254" s="66"/>
      <c r="TIY254" s="66"/>
      <c r="TIZ254" s="66"/>
      <c r="TJA254" s="66"/>
      <c r="TJB254" s="66"/>
      <c r="TJC254" s="66"/>
      <c r="TJD254" s="66"/>
      <c r="TJE254" s="66"/>
      <c r="TJF254" s="66"/>
      <c r="TJG254" s="66"/>
      <c r="TJH254" s="66"/>
      <c r="TJI254" s="66"/>
      <c r="TJJ254" s="66"/>
      <c r="TJK254" s="66"/>
      <c r="TJL254" s="66"/>
      <c r="TJM254" s="66"/>
      <c r="TJN254" s="66"/>
      <c r="TJO254" s="66"/>
      <c r="TJP254" s="66"/>
      <c r="TJQ254" s="66"/>
      <c r="TJR254" s="66"/>
      <c r="TJS254" s="66"/>
      <c r="TJT254" s="66"/>
      <c r="TJU254" s="66"/>
      <c r="TJV254" s="66"/>
      <c r="TJW254" s="66"/>
      <c r="TJX254" s="66"/>
      <c r="TJY254" s="66"/>
      <c r="TJZ254" s="66"/>
      <c r="TKA254" s="66"/>
      <c r="TKB254" s="66"/>
      <c r="TKC254" s="66"/>
      <c r="TKD254" s="66"/>
      <c r="TKE254" s="66"/>
      <c r="TKF254" s="66"/>
      <c r="TKG254" s="66"/>
      <c r="TKH254" s="66"/>
      <c r="TKI254" s="66"/>
      <c r="TKJ254" s="66"/>
      <c r="TKK254" s="66"/>
      <c r="TKL254" s="66"/>
      <c r="TKM254" s="66"/>
      <c r="TKN254" s="66"/>
      <c r="TKO254" s="66"/>
      <c r="TKP254" s="66"/>
      <c r="TKQ254" s="66"/>
      <c r="TKR254" s="66"/>
      <c r="TKS254" s="66"/>
      <c r="TKT254" s="66"/>
      <c r="TKU254" s="66"/>
      <c r="TKV254" s="66"/>
      <c r="TKW254" s="66"/>
      <c r="TKX254" s="66"/>
      <c r="TKY254" s="66"/>
      <c r="TKZ254" s="66"/>
      <c r="TLA254" s="66"/>
      <c r="TLB254" s="66"/>
      <c r="TLC254" s="66"/>
      <c r="TLD254" s="66"/>
      <c r="TLE254" s="66"/>
      <c r="TLF254" s="66"/>
      <c r="TLG254" s="66"/>
      <c r="TLH254" s="66"/>
      <c r="TLI254" s="66"/>
      <c r="TLJ254" s="66"/>
      <c r="TLK254" s="66"/>
      <c r="TLL254" s="66"/>
      <c r="TLM254" s="66"/>
      <c r="TLN254" s="66"/>
      <c r="TLO254" s="66"/>
      <c r="TLP254" s="66"/>
      <c r="TLQ254" s="66"/>
      <c r="TLR254" s="66"/>
      <c r="TLS254" s="66"/>
      <c r="TLT254" s="66"/>
      <c r="TLU254" s="66"/>
      <c r="TLV254" s="66"/>
      <c r="TLW254" s="66"/>
      <c r="TLX254" s="66"/>
      <c r="TLY254" s="66"/>
      <c r="TLZ254" s="66"/>
      <c r="TMA254" s="66"/>
      <c r="TMB254" s="66"/>
      <c r="TMC254" s="66"/>
      <c r="TMD254" s="66"/>
      <c r="TME254" s="66"/>
      <c r="TMF254" s="66"/>
      <c r="TMG254" s="66"/>
      <c r="TMH254" s="66"/>
      <c r="TMI254" s="66"/>
      <c r="TMJ254" s="66"/>
      <c r="TMK254" s="66"/>
      <c r="TML254" s="66"/>
      <c r="TMM254" s="66"/>
      <c r="TMN254" s="66"/>
      <c r="TMO254" s="66"/>
      <c r="TMP254" s="66"/>
      <c r="TMQ254" s="66"/>
      <c r="TMR254" s="66"/>
      <c r="TMS254" s="66"/>
      <c r="TMT254" s="66"/>
      <c r="TMU254" s="66"/>
      <c r="TMV254" s="66"/>
      <c r="TMW254" s="66"/>
      <c r="TMX254" s="66"/>
      <c r="TMY254" s="66"/>
      <c r="TMZ254" s="66"/>
      <c r="TNA254" s="66"/>
      <c r="TNB254" s="66"/>
      <c r="TNC254" s="66"/>
      <c r="TND254" s="66"/>
      <c r="TNE254" s="66"/>
      <c r="TNF254" s="66"/>
      <c r="TNG254" s="66"/>
      <c r="TNH254" s="66"/>
      <c r="TNI254" s="66"/>
      <c r="TNJ254" s="66"/>
      <c r="TNK254" s="66"/>
      <c r="TNL254" s="66"/>
      <c r="TNM254" s="66"/>
      <c r="TNN254" s="66"/>
      <c r="TNO254" s="66"/>
      <c r="TNP254" s="66"/>
      <c r="TNQ254" s="66"/>
      <c r="TNR254" s="66"/>
      <c r="TNS254" s="66"/>
      <c r="TNT254" s="66"/>
      <c r="TNU254" s="66"/>
      <c r="TNV254" s="66"/>
      <c r="TNW254" s="66"/>
      <c r="TNX254" s="66"/>
      <c r="TNY254" s="66"/>
      <c r="TNZ254" s="66"/>
      <c r="TOA254" s="66"/>
      <c r="TOB254" s="66"/>
      <c r="TOC254" s="66"/>
      <c r="TOD254" s="66"/>
      <c r="TOE254" s="66"/>
      <c r="TOF254" s="66"/>
      <c r="TOG254" s="66"/>
      <c r="TOH254" s="66"/>
      <c r="TOI254" s="66"/>
      <c r="TOJ254" s="66"/>
      <c r="TOK254" s="66"/>
      <c r="TOL254" s="66"/>
      <c r="TOM254" s="66"/>
      <c r="TON254" s="66"/>
      <c r="TOO254" s="66"/>
      <c r="TOP254" s="66"/>
      <c r="TOQ254" s="66"/>
      <c r="TOR254" s="66"/>
      <c r="TOS254" s="66"/>
      <c r="TOT254" s="66"/>
      <c r="TOU254" s="66"/>
      <c r="TOV254" s="66"/>
      <c r="TOW254" s="66"/>
      <c r="TOX254" s="66"/>
      <c r="TOY254" s="66"/>
      <c r="TOZ254" s="66"/>
      <c r="TPA254" s="66"/>
      <c r="TPB254" s="66"/>
      <c r="TPC254" s="66"/>
      <c r="TPD254" s="66"/>
      <c r="TPE254" s="66"/>
      <c r="TPF254" s="66"/>
      <c r="TPG254" s="66"/>
      <c r="TPH254" s="66"/>
      <c r="TPI254" s="66"/>
      <c r="TPJ254" s="66"/>
      <c r="TPK254" s="66"/>
      <c r="TPL254" s="66"/>
      <c r="TPM254" s="66"/>
      <c r="TPN254" s="66"/>
      <c r="TPO254" s="66"/>
      <c r="TPP254" s="66"/>
      <c r="TPQ254" s="66"/>
      <c r="TPR254" s="66"/>
      <c r="TPS254" s="66"/>
      <c r="TPT254" s="66"/>
      <c r="TPU254" s="66"/>
      <c r="TPV254" s="66"/>
      <c r="TPW254" s="66"/>
      <c r="TPX254" s="66"/>
      <c r="TPY254" s="66"/>
      <c r="TPZ254" s="66"/>
      <c r="TQA254" s="66"/>
      <c r="TQB254" s="66"/>
      <c r="TQC254" s="66"/>
      <c r="TQD254" s="66"/>
      <c r="TQE254" s="66"/>
      <c r="TQF254" s="66"/>
      <c r="TQG254" s="66"/>
      <c r="TQH254" s="66"/>
      <c r="TQI254" s="66"/>
      <c r="TQJ254" s="66"/>
      <c r="TQK254" s="66"/>
      <c r="TQL254" s="66"/>
      <c r="TQM254" s="66"/>
      <c r="TQN254" s="66"/>
      <c r="TQO254" s="66"/>
      <c r="TQP254" s="66"/>
      <c r="TQQ254" s="66"/>
      <c r="TQR254" s="66"/>
      <c r="TQS254" s="66"/>
      <c r="TQT254" s="66"/>
      <c r="TQU254" s="66"/>
      <c r="TQV254" s="66"/>
      <c r="TQW254" s="66"/>
      <c r="TQX254" s="66"/>
      <c r="TQY254" s="66"/>
      <c r="TQZ254" s="66"/>
      <c r="TRA254" s="66"/>
      <c r="TRB254" s="66"/>
      <c r="TRC254" s="66"/>
      <c r="TRD254" s="66"/>
      <c r="TRE254" s="66"/>
      <c r="TRF254" s="66"/>
      <c r="TRG254" s="66"/>
      <c r="TRH254" s="66"/>
      <c r="TRI254" s="66"/>
      <c r="TRJ254" s="66"/>
      <c r="TRK254" s="66"/>
      <c r="TRL254" s="66"/>
      <c r="TRM254" s="66"/>
      <c r="TRN254" s="66"/>
      <c r="TRO254" s="66"/>
      <c r="TRP254" s="66"/>
      <c r="TRQ254" s="66"/>
      <c r="TRR254" s="66"/>
      <c r="TRS254" s="66"/>
      <c r="TRT254" s="66"/>
      <c r="TRU254" s="66"/>
      <c r="TRV254" s="66"/>
      <c r="TRW254" s="66"/>
      <c r="TRX254" s="66"/>
      <c r="TRY254" s="66"/>
      <c r="TRZ254" s="66"/>
      <c r="TSA254" s="66"/>
      <c r="TSB254" s="66"/>
      <c r="TSC254" s="66"/>
      <c r="TSD254" s="66"/>
      <c r="TSE254" s="66"/>
      <c r="TSF254" s="66"/>
      <c r="TSG254" s="66"/>
      <c r="TSH254" s="66"/>
      <c r="TSI254" s="66"/>
      <c r="TSJ254" s="66"/>
      <c r="TSK254" s="66"/>
      <c r="TSL254" s="66"/>
      <c r="TSM254" s="66"/>
      <c r="TSN254" s="66"/>
      <c r="TSO254" s="66"/>
      <c r="TSP254" s="66"/>
      <c r="TSQ254" s="66"/>
      <c r="TSR254" s="66"/>
      <c r="TSS254" s="66"/>
      <c r="TST254" s="66"/>
      <c r="TSU254" s="66"/>
      <c r="TSV254" s="66"/>
      <c r="TSW254" s="66"/>
      <c r="TSX254" s="66"/>
      <c r="TSY254" s="66"/>
      <c r="TSZ254" s="66"/>
      <c r="TTA254" s="66"/>
      <c r="TTB254" s="66"/>
      <c r="TTC254" s="66"/>
      <c r="TTD254" s="66"/>
      <c r="TTE254" s="66"/>
      <c r="TTF254" s="66"/>
      <c r="TTG254" s="66"/>
      <c r="TTH254" s="66"/>
      <c r="TTI254" s="66"/>
      <c r="TTJ254" s="66"/>
      <c r="TTK254" s="66"/>
      <c r="TTL254" s="66"/>
      <c r="TTM254" s="66"/>
      <c r="TTN254" s="66"/>
      <c r="TTO254" s="66"/>
      <c r="TTP254" s="66"/>
      <c r="TTQ254" s="66"/>
      <c r="TTR254" s="66"/>
      <c r="TTS254" s="66"/>
      <c r="TTT254" s="66"/>
      <c r="TTU254" s="66"/>
      <c r="TTV254" s="66"/>
      <c r="TTW254" s="66"/>
      <c r="TTX254" s="66"/>
      <c r="TTY254" s="66"/>
      <c r="TTZ254" s="66"/>
      <c r="TUA254" s="66"/>
      <c r="TUB254" s="66"/>
      <c r="TUC254" s="66"/>
      <c r="TUD254" s="66"/>
      <c r="TUE254" s="66"/>
      <c r="TUF254" s="66"/>
      <c r="TUG254" s="66"/>
      <c r="TUH254" s="66"/>
      <c r="TUI254" s="66"/>
      <c r="TUJ254" s="66"/>
      <c r="TUK254" s="66"/>
      <c r="TUL254" s="66"/>
      <c r="TUM254" s="66"/>
      <c r="TUN254" s="66"/>
      <c r="TUO254" s="66"/>
      <c r="TUP254" s="66"/>
      <c r="TUQ254" s="66"/>
      <c r="TUR254" s="66"/>
      <c r="TUS254" s="66"/>
      <c r="TUT254" s="66"/>
      <c r="TUU254" s="66"/>
      <c r="TUV254" s="66"/>
      <c r="TUW254" s="66"/>
      <c r="TUX254" s="66"/>
      <c r="TUY254" s="66"/>
      <c r="TUZ254" s="66"/>
      <c r="TVA254" s="66"/>
      <c r="TVB254" s="66"/>
      <c r="TVC254" s="66"/>
      <c r="TVD254" s="66"/>
      <c r="TVE254" s="66"/>
      <c r="TVF254" s="66"/>
      <c r="TVG254" s="66"/>
      <c r="TVH254" s="66"/>
      <c r="TVI254" s="66"/>
      <c r="TVJ254" s="66"/>
      <c r="TVK254" s="66"/>
      <c r="TVL254" s="66"/>
      <c r="TVM254" s="66"/>
      <c r="TVN254" s="66"/>
      <c r="TVO254" s="66"/>
      <c r="TVP254" s="66"/>
      <c r="TVQ254" s="66"/>
      <c r="TVR254" s="66"/>
      <c r="TVS254" s="66"/>
      <c r="TVT254" s="66"/>
      <c r="TVU254" s="66"/>
      <c r="TVV254" s="66"/>
      <c r="TVW254" s="66"/>
      <c r="TVX254" s="66"/>
      <c r="TVY254" s="66"/>
      <c r="TVZ254" s="66"/>
      <c r="TWA254" s="66"/>
      <c r="TWB254" s="66"/>
      <c r="TWC254" s="66"/>
      <c r="TWD254" s="66"/>
      <c r="TWE254" s="66"/>
      <c r="TWF254" s="66"/>
      <c r="TWG254" s="66"/>
      <c r="TWH254" s="66"/>
      <c r="TWI254" s="66"/>
      <c r="TWJ254" s="66"/>
      <c r="TWK254" s="66"/>
      <c r="TWL254" s="66"/>
      <c r="TWM254" s="66"/>
      <c r="TWN254" s="66"/>
      <c r="TWO254" s="66"/>
      <c r="TWP254" s="66"/>
      <c r="TWQ254" s="66"/>
      <c r="TWR254" s="66"/>
      <c r="TWS254" s="66"/>
      <c r="TWT254" s="66"/>
      <c r="TWU254" s="66"/>
      <c r="TWV254" s="66"/>
      <c r="TWW254" s="66"/>
      <c r="TWX254" s="66"/>
      <c r="TWY254" s="66"/>
      <c r="TWZ254" s="66"/>
      <c r="TXA254" s="66"/>
      <c r="TXB254" s="66"/>
      <c r="TXC254" s="66"/>
      <c r="TXD254" s="66"/>
      <c r="TXE254" s="66"/>
      <c r="TXF254" s="66"/>
      <c r="TXG254" s="66"/>
      <c r="TXH254" s="66"/>
      <c r="TXI254" s="66"/>
      <c r="TXJ254" s="66"/>
      <c r="TXK254" s="66"/>
      <c r="TXL254" s="66"/>
      <c r="TXM254" s="66"/>
      <c r="TXN254" s="66"/>
      <c r="TXO254" s="66"/>
      <c r="TXP254" s="66"/>
      <c r="TXQ254" s="66"/>
      <c r="TXR254" s="66"/>
      <c r="TXS254" s="66"/>
      <c r="TXT254" s="66"/>
      <c r="TXU254" s="66"/>
      <c r="TXV254" s="66"/>
      <c r="TXW254" s="66"/>
      <c r="TXX254" s="66"/>
      <c r="TXY254" s="66"/>
      <c r="TXZ254" s="66"/>
      <c r="TYA254" s="66"/>
      <c r="TYB254" s="66"/>
      <c r="TYC254" s="66"/>
      <c r="TYD254" s="66"/>
      <c r="TYE254" s="66"/>
      <c r="TYF254" s="66"/>
      <c r="TYG254" s="66"/>
      <c r="TYH254" s="66"/>
      <c r="TYI254" s="66"/>
      <c r="TYJ254" s="66"/>
      <c r="TYK254" s="66"/>
      <c r="TYL254" s="66"/>
      <c r="TYM254" s="66"/>
      <c r="TYN254" s="66"/>
      <c r="TYO254" s="66"/>
      <c r="TYP254" s="66"/>
      <c r="TYQ254" s="66"/>
      <c r="TYR254" s="66"/>
      <c r="TYS254" s="66"/>
      <c r="TYT254" s="66"/>
      <c r="TYU254" s="66"/>
      <c r="TYV254" s="66"/>
      <c r="TYW254" s="66"/>
      <c r="TYX254" s="66"/>
      <c r="TYY254" s="66"/>
      <c r="TYZ254" s="66"/>
      <c r="TZA254" s="66"/>
      <c r="TZB254" s="66"/>
      <c r="TZC254" s="66"/>
      <c r="TZD254" s="66"/>
      <c r="TZE254" s="66"/>
      <c r="TZF254" s="66"/>
      <c r="TZG254" s="66"/>
      <c r="TZH254" s="66"/>
      <c r="TZI254" s="66"/>
      <c r="TZJ254" s="66"/>
      <c r="TZK254" s="66"/>
      <c r="TZL254" s="66"/>
      <c r="TZM254" s="66"/>
      <c r="TZN254" s="66"/>
      <c r="TZO254" s="66"/>
      <c r="TZP254" s="66"/>
      <c r="TZQ254" s="66"/>
      <c r="TZR254" s="66"/>
      <c r="TZS254" s="66"/>
      <c r="TZT254" s="66"/>
      <c r="TZU254" s="66"/>
      <c r="TZV254" s="66"/>
      <c r="TZW254" s="66"/>
      <c r="TZX254" s="66"/>
      <c r="TZY254" s="66"/>
      <c r="TZZ254" s="66"/>
      <c r="UAA254" s="66"/>
      <c r="UAB254" s="66"/>
      <c r="UAC254" s="66"/>
      <c r="UAD254" s="66"/>
      <c r="UAE254" s="66"/>
      <c r="UAF254" s="66"/>
      <c r="UAG254" s="66"/>
      <c r="UAH254" s="66"/>
      <c r="UAI254" s="66"/>
      <c r="UAJ254" s="66"/>
      <c r="UAK254" s="66"/>
      <c r="UAL254" s="66"/>
      <c r="UAM254" s="66"/>
      <c r="UAN254" s="66"/>
      <c r="UAO254" s="66"/>
      <c r="UAP254" s="66"/>
      <c r="UAQ254" s="66"/>
      <c r="UAR254" s="66"/>
      <c r="UAS254" s="66"/>
      <c r="UAT254" s="66"/>
      <c r="UAU254" s="66"/>
      <c r="UAV254" s="66"/>
      <c r="UAW254" s="66"/>
      <c r="UAX254" s="66"/>
      <c r="UAY254" s="66"/>
      <c r="UAZ254" s="66"/>
      <c r="UBA254" s="66"/>
      <c r="UBB254" s="66"/>
      <c r="UBC254" s="66"/>
      <c r="UBD254" s="66"/>
      <c r="UBE254" s="66"/>
      <c r="UBF254" s="66"/>
      <c r="UBG254" s="66"/>
      <c r="UBH254" s="66"/>
      <c r="UBI254" s="66"/>
      <c r="UBJ254" s="66"/>
      <c r="UBK254" s="66"/>
      <c r="UBL254" s="66"/>
      <c r="UBM254" s="66"/>
      <c r="UBN254" s="66"/>
      <c r="UBO254" s="66"/>
      <c r="UBP254" s="66"/>
      <c r="UBQ254" s="66"/>
      <c r="UBR254" s="66"/>
      <c r="UBS254" s="66"/>
      <c r="UBT254" s="66"/>
      <c r="UBU254" s="66"/>
      <c r="UBV254" s="66"/>
      <c r="UBW254" s="66"/>
      <c r="UBX254" s="66"/>
      <c r="UBY254" s="66"/>
      <c r="UBZ254" s="66"/>
      <c r="UCA254" s="66"/>
      <c r="UCB254" s="66"/>
      <c r="UCC254" s="66"/>
      <c r="UCD254" s="66"/>
      <c r="UCE254" s="66"/>
      <c r="UCF254" s="66"/>
      <c r="UCG254" s="66"/>
      <c r="UCH254" s="66"/>
      <c r="UCI254" s="66"/>
      <c r="UCJ254" s="66"/>
      <c r="UCK254" s="66"/>
      <c r="UCL254" s="66"/>
      <c r="UCM254" s="66"/>
      <c r="UCN254" s="66"/>
      <c r="UCO254" s="66"/>
      <c r="UCP254" s="66"/>
      <c r="UCQ254" s="66"/>
      <c r="UCR254" s="66"/>
      <c r="UCS254" s="66"/>
      <c r="UCT254" s="66"/>
      <c r="UCU254" s="66"/>
      <c r="UCV254" s="66"/>
      <c r="UCW254" s="66"/>
      <c r="UCX254" s="66"/>
      <c r="UCY254" s="66"/>
      <c r="UCZ254" s="66"/>
      <c r="UDA254" s="66"/>
      <c r="UDB254" s="66"/>
      <c r="UDC254" s="66"/>
      <c r="UDD254" s="66"/>
      <c r="UDE254" s="66"/>
      <c r="UDF254" s="66"/>
      <c r="UDG254" s="66"/>
      <c r="UDH254" s="66"/>
      <c r="UDI254" s="66"/>
      <c r="UDJ254" s="66"/>
      <c r="UDK254" s="66"/>
      <c r="UDL254" s="66"/>
      <c r="UDM254" s="66"/>
      <c r="UDN254" s="66"/>
      <c r="UDO254" s="66"/>
      <c r="UDP254" s="66"/>
      <c r="UDQ254" s="66"/>
      <c r="UDR254" s="66"/>
      <c r="UDS254" s="66"/>
      <c r="UDT254" s="66"/>
      <c r="UDU254" s="66"/>
      <c r="UDV254" s="66"/>
      <c r="UDW254" s="66"/>
      <c r="UDX254" s="66"/>
      <c r="UDY254" s="66"/>
      <c r="UDZ254" s="66"/>
      <c r="UEA254" s="66"/>
      <c r="UEB254" s="66"/>
      <c r="UEC254" s="66"/>
      <c r="UED254" s="66"/>
      <c r="UEE254" s="66"/>
      <c r="UEF254" s="66"/>
      <c r="UEG254" s="66"/>
      <c r="UEH254" s="66"/>
      <c r="UEI254" s="66"/>
      <c r="UEJ254" s="66"/>
      <c r="UEK254" s="66"/>
      <c r="UEL254" s="66"/>
      <c r="UEM254" s="66"/>
      <c r="UEN254" s="66"/>
      <c r="UEO254" s="66"/>
      <c r="UEP254" s="66"/>
      <c r="UEQ254" s="66"/>
      <c r="UER254" s="66"/>
      <c r="UES254" s="66"/>
      <c r="UET254" s="66"/>
      <c r="UEU254" s="66"/>
      <c r="UEV254" s="66"/>
      <c r="UEW254" s="66"/>
      <c r="UEX254" s="66"/>
      <c r="UEY254" s="66"/>
      <c r="UEZ254" s="66"/>
      <c r="UFA254" s="66"/>
      <c r="UFB254" s="66"/>
      <c r="UFC254" s="66"/>
      <c r="UFD254" s="66"/>
      <c r="UFE254" s="66"/>
      <c r="UFF254" s="66"/>
      <c r="UFG254" s="66"/>
      <c r="UFH254" s="66"/>
      <c r="UFI254" s="66"/>
      <c r="UFJ254" s="66"/>
      <c r="UFK254" s="66"/>
      <c r="UFL254" s="66"/>
      <c r="UFM254" s="66"/>
      <c r="UFN254" s="66"/>
      <c r="UFO254" s="66"/>
      <c r="UFP254" s="66"/>
      <c r="UFQ254" s="66"/>
      <c r="UFR254" s="66"/>
      <c r="UFS254" s="66"/>
      <c r="UFT254" s="66"/>
      <c r="UFU254" s="66"/>
      <c r="UFV254" s="66"/>
      <c r="UFW254" s="66"/>
      <c r="UFX254" s="66"/>
      <c r="UFY254" s="66"/>
      <c r="UFZ254" s="66"/>
      <c r="UGA254" s="66"/>
      <c r="UGB254" s="66"/>
      <c r="UGC254" s="66"/>
      <c r="UGD254" s="66"/>
      <c r="UGE254" s="66"/>
      <c r="UGF254" s="66"/>
      <c r="UGG254" s="66"/>
      <c r="UGH254" s="66"/>
      <c r="UGI254" s="66"/>
      <c r="UGJ254" s="66"/>
      <c r="UGK254" s="66"/>
      <c r="UGL254" s="66"/>
      <c r="UGM254" s="66"/>
      <c r="UGN254" s="66"/>
      <c r="UGO254" s="66"/>
      <c r="UGP254" s="66"/>
      <c r="UGQ254" s="66"/>
      <c r="UGR254" s="66"/>
      <c r="UGS254" s="66"/>
      <c r="UGT254" s="66"/>
      <c r="UGU254" s="66"/>
      <c r="UGV254" s="66"/>
      <c r="UGW254" s="66"/>
      <c r="UGX254" s="66"/>
      <c r="UGY254" s="66"/>
      <c r="UGZ254" s="66"/>
      <c r="UHA254" s="66"/>
      <c r="UHB254" s="66"/>
      <c r="UHC254" s="66"/>
      <c r="UHD254" s="66"/>
      <c r="UHE254" s="66"/>
      <c r="UHF254" s="66"/>
      <c r="UHG254" s="66"/>
      <c r="UHH254" s="66"/>
      <c r="UHI254" s="66"/>
      <c r="UHJ254" s="66"/>
      <c r="UHK254" s="66"/>
      <c r="UHL254" s="66"/>
      <c r="UHM254" s="66"/>
      <c r="UHN254" s="66"/>
      <c r="UHO254" s="66"/>
      <c r="UHP254" s="66"/>
      <c r="UHQ254" s="66"/>
      <c r="UHR254" s="66"/>
      <c r="UHS254" s="66"/>
      <c r="UHT254" s="66"/>
      <c r="UHU254" s="66"/>
      <c r="UHV254" s="66"/>
      <c r="UHW254" s="66"/>
      <c r="UHX254" s="66"/>
      <c r="UHY254" s="66"/>
      <c r="UHZ254" s="66"/>
      <c r="UIA254" s="66"/>
      <c r="UIB254" s="66"/>
      <c r="UIC254" s="66"/>
      <c r="UID254" s="66"/>
      <c r="UIE254" s="66"/>
      <c r="UIF254" s="66"/>
      <c r="UIG254" s="66"/>
      <c r="UIH254" s="66"/>
      <c r="UII254" s="66"/>
      <c r="UIJ254" s="66"/>
      <c r="UIK254" s="66"/>
      <c r="UIL254" s="66"/>
      <c r="UIM254" s="66"/>
      <c r="UIN254" s="66"/>
      <c r="UIO254" s="66"/>
      <c r="UIP254" s="66"/>
      <c r="UIQ254" s="66"/>
      <c r="UIR254" s="66"/>
      <c r="UIS254" s="66"/>
      <c r="UIT254" s="66"/>
      <c r="UIU254" s="66"/>
      <c r="UIV254" s="66"/>
      <c r="UIW254" s="66"/>
      <c r="UIX254" s="66"/>
      <c r="UIY254" s="66"/>
      <c r="UIZ254" s="66"/>
      <c r="UJA254" s="66"/>
      <c r="UJB254" s="66"/>
      <c r="UJC254" s="66"/>
      <c r="UJD254" s="66"/>
      <c r="UJE254" s="66"/>
      <c r="UJF254" s="66"/>
      <c r="UJG254" s="66"/>
      <c r="UJH254" s="66"/>
      <c r="UJI254" s="66"/>
      <c r="UJJ254" s="66"/>
      <c r="UJK254" s="66"/>
      <c r="UJL254" s="66"/>
      <c r="UJM254" s="66"/>
      <c r="UJN254" s="66"/>
      <c r="UJO254" s="66"/>
      <c r="UJP254" s="66"/>
      <c r="UJQ254" s="66"/>
      <c r="UJR254" s="66"/>
      <c r="UJS254" s="66"/>
      <c r="UJT254" s="66"/>
      <c r="UJU254" s="66"/>
      <c r="UJV254" s="66"/>
      <c r="UJW254" s="66"/>
      <c r="UJX254" s="66"/>
      <c r="UJY254" s="66"/>
      <c r="UJZ254" s="66"/>
      <c r="UKA254" s="66"/>
      <c r="UKB254" s="66"/>
      <c r="UKC254" s="66"/>
      <c r="UKD254" s="66"/>
      <c r="UKE254" s="66"/>
      <c r="UKF254" s="66"/>
      <c r="UKG254" s="66"/>
      <c r="UKH254" s="66"/>
      <c r="UKI254" s="66"/>
      <c r="UKJ254" s="66"/>
      <c r="UKK254" s="66"/>
      <c r="UKL254" s="66"/>
      <c r="UKM254" s="66"/>
      <c r="UKN254" s="66"/>
      <c r="UKO254" s="66"/>
      <c r="UKP254" s="66"/>
      <c r="UKQ254" s="66"/>
      <c r="UKR254" s="66"/>
      <c r="UKS254" s="66"/>
      <c r="UKT254" s="66"/>
      <c r="UKU254" s="66"/>
      <c r="UKV254" s="66"/>
      <c r="UKW254" s="66"/>
      <c r="UKX254" s="66"/>
      <c r="UKY254" s="66"/>
      <c r="UKZ254" s="66"/>
      <c r="ULA254" s="66"/>
      <c r="ULB254" s="66"/>
      <c r="ULC254" s="66"/>
      <c r="ULD254" s="66"/>
      <c r="ULE254" s="66"/>
      <c r="ULF254" s="66"/>
      <c r="ULG254" s="66"/>
      <c r="ULH254" s="66"/>
      <c r="ULI254" s="66"/>
      <c r="ULJ254" s="66"/>
      <c r="ULK254" s="66"/>
      <c r="ULL254" s="66"/>
      <c r="ULM254" s="66"/>
      <c r="ULN254" s="66"/>
      <c r="ULO254" s="66"/>
      <c r="ULP254" s="66"/>
      <c r="ULQ254" s="66"/>
      <c r="ULR254" s="66"/>
      <c r="ULS254" s="66"/>
      <c r="ULT254" s="66"/>
      <c r="ULU254" s="66"/>
      <c r="ULV254" s="66"/>
      <c r="ULW254" s="66"/>
      <c r="ULX254" s="66"/>
      <c r="ULY254" s="66"/>
      <c r="ULZ254" s="66"/>
      <c r="UMA254" s="66"/>
      <c r="UMB254" s="66"/>
      <c r="UMC254" s="66"/>
      <c r="UMD254" s="66"/>
      <c r="UME254" s="66"/>
      <c r="UMF254" s="66"/>
      <c r="UMG254" s="66"/>
      <c r="UMH254" s="66"/>
      <c r="UMI254" s="66"/>
      <c r="UMJ254" s="66"/>
      <c r="UMK254" s="66"/>
      <c r="UML254" s="66"/>
      <c r="UMM254" s="66"/>
      <c r="UMN254" s="66"/>
      <c r="UMO254" s="66"/>
      <c r="UMP254" s="66"/>
      <c r="UMQ254" s="66"/>
      <c r="UMR254" s="66"/>
      <c r="UMS254" s="66"/>
      <c r="UMT254" s="66"/>
      <c r="UMU254" s="66"/>
      <c r="UMV254" s="66"/>
      <c r="UMW254" s="66"/>
      <c r="UMX254" s="66"/>
      <c r="UMY254" s="66"/>
      <c r="UMZ254" s="66"/>
      <c r="UNA254" s="66"/>
      <c r="UNB254" s="66"/>
      <c r="UNC254" s="66"/>
      <c r="UND254" s="66"/>
      <c r="UNE254" s="66"/>
      <c r="UNF254" s="66"/>
      <c r="UNG254" s="66"/>
      <c r="UNH254" s="66"/>
      <c r="UNI254" s="66"/>
      <c r="UNJ254" s="66"/>
      <c r="UNK254" s="66"/>
      <c r="UNL254" s="66"/>
      <c r="UNM254" s="66"/>
      <c r="UNN254" s="66"/>
      <c r="UNO254" s="66"/>
      <c r="UNP254" s="66"/>
      <c r="UNQ254" s="66"/>
      <c r="UNR254" s="66"/>
      <c r="UNS254" s="66"/>
      <c r="UNT254" s="66"/>
      <c r="UNU254" s="66"/>
      <c r="UNV254" s="66"/>
      <c r="UNW254" s="66"/>
      <c r="UNX254" s="66"/>
      <c r="UNY254" s="66"/>
      <c r="UNZ254" s="66"/>
      <c r="UOA254" s="66"/>
      <c r="UOB254" s="66"/>
      <c r="UOC254" s="66"/>
      <c r="UOD254" s="66"/>
      <c r="UOE254" s="66"/>
      <c r="UOF254" s="66"/>
      <c r="UOG254" s="66"/>
      <c r="UOH254" s="66"/>
      <c r="UOI254" s="66"/>
      <c r="UOJ254" s="66"/>
      <c r="UOK254" s="66"/>
      <c r="UOL254" s="66"/>
      <c r="UOM254" s="66"/>
      <c r="UON254" s="66"/>
      <c r="UOO254" s="66"/>
      <c r="UOP254" s="66"/>
      <c r="UOQ254" s="66"/>
      <c r="UOR254" s="66"/>
      <c r="UOS254" s="66"/>
      <c r="UOT254" s="66"/>
      <c r="UOU254" s="66"/>
      <c r="UOV254" s="66"/>
      <c r="UOW254" s="66"/>
      <c r="UOX254" s="66"/>
      <c r="UOY254" s="66"/>
      <c r="UOZ254" s="66"/>
      <c r="UPA254" s="66"/>
      <c r="UPB254" s="66"/>
      <c r="UPC254" s="66"/>
      <c r="UPD254" s="66"/>
      <c r="UPE254" s="66"/>
      <c r="UPF254" s="66"/>
      <c r="UPG254" s="66"/>
      <c r="UPH254" s="66"/>
      <c r="UPI254" s="66"/>
      <c r="UPJ254" s="66"/>
      <c r="UPK254" s="66"/>
      <c r="UPL254" s="66"/>
      <c r="UPM254" s="66"/>
      <c r="UPN254" s="66"/>
      <c r="UPO254" s="66"/>
      <c r="UPP254" s="66"/>
      <c r="UPQ254" s="66"/>
      <c r="UPR254" s="66"/>
      <c r="UPS254" s="66"/>
      <c r="UPT254" s="66"/>
      <c r="UPU254" s="66"/>
      <c r="UPV254" s="66"/>
      <c r="UPW254" s="66"/>
      <c r="UPX254" s="66"/>
      <c r="UPY254" s="66"/>
      <c r="UPZ254" s="66"/>
      <c r="UQA254" s="66"/>
      <c r="UQB254" s="66"/>
      <c r="UQC254" s="66"/>
      <c r="UQD254" s="66"/>
      <c r="UQE254" s="66"/>
      <c r="UQF254" s="66"/>
      <c r="UQG254" s="66"/>
      <c r="UQH254" s="66"/>
      <c r="UQI254" s="66"/>
      <c r="UQJ254" s="66"/>
      <c r="UQK254" s="66"/>
      <c r="UQL254" s="66"/>
      <c r="UQM254" s="66"/>
      <c r="UQN254" s="66"/>
      <c r="UQO254" s="66"/>
      <c r="UQP254" s="66"/>
      <c r="UQQ254" s="66"/>
      <c r="UQR254" s="66"/>
      <c r="UQS254" s="66"/>
      <c r="UQT254" s="66"/>
      <c r="UQU254" s="66"/>
      <c r="UQV254" s="66"/>
      <c r="UQW254" s="66"/>
      <c r="UQX254" s="66"/>
      <c r="UQY254" s="66"/>
      <c r="UQZ254" s="66"/>
      <c r="URA254" s="66"/>
      <c r="URB254" s="66"/>
      <c r="URC254" s="66"/>
      <c r="URD254" s="66"/>
      <c r="URE254" s="66"/>
      <c r="URF254" s="66"/>
      <c r="URG254" s="66"/>
      <c r="URH254" s="66"/>
      <c r="URI254" s="66"/>
      <c r="URJ254" s="66"/>
      <c r="URK254" s="66"/>
      <c r="URL254" s="66"/>
      <c r="URM254" s="66"/>
      <c r="URN254" s="66"/>
      <c r="URO254" s="66"/>
      <c r="URP254" s="66"/>
      <c r="URQ254" s="66"/>
      <c r="URR254" s="66"/>
      <c r="URS254" s="66"/>
      <c r="URT254" s="66"/>
      <c r="URU254" s="66"/>
      <c r="URV254" s="66"/>
      <c r="URW254" s="66"/>
      <c r="URX254" s="66"/>
      <c r="URY254" s="66"/>
      <c r="URZ254" s="66"/>
      <c r="USA254" s="66"/>
      <c r="USB254" s="66"/>
      <c r="USC254" s="66"/>
      <c r="USD254" s="66"/>
      <c r="USE254" s="66"/>
      <c r="USF254" s="66"/>
      <c r="USG254" s="66"/>
      <c r="USH254" s="66"/>
      <c r="USI254" s="66"/>
      <c r="USJ254" s="66"/>
      <c r="USK254" s="66"/>
      <c r="USL254" s="66"/>
      <c r="USM254" s="66"/>
      <c r="USN254" s="66"/>
      <c r="USO254" s="66"/>
      <c r="USP254" s="66"/>
      <c r="USQ254" s="66"/>
      <c r="USR254" s="66"/>
      <c r="USS254" s="66"/>
      <c r="UST254" s="66"/>
      <c r="USU254" s="66"/>
      <c r="USV254" s="66"/>
      <c r="USW254" s="66"/>
      <c r="USX254" s="66"/>
      <c r="USY254" s="66"/>
      <c r="USZ254" s="66"/>
      <c r="UTA254" s="66"/>
      <c r="UTB254" s="66"/>
      <c r="UTC254" s="66"/>
      <c r="UTD254" s="66"/>
      <c r="UTE254" s="66"/>
      <c r="UTF254" s="66"/>
      <c r="UTG254" s="66"/>
      <c r="UTH254" s="66"/>
      <c r="UTI254" s="66"/>
      <c r="UTJ254" s="66"/>
      <c r="UTK254" s="66"/>
      <c r="UTL254" s="66"/>
      <c r="UTM254" s="66"/>
      <c r="UTN254" s="66"/>
      <c r="UTO254" s="66"/>
      <c r="UTP254" s="66"/>
      <c r="UTQ254" s="66"/>
      <c r="UTR254" s="66"/>
      <c r="UTS254" s="66"/>
      <c r="UTT254" s="66"/>
      <c r="UTU254" s="66"/>
      <c r="UTV254" s="66"/>
      <c r="UTW254" s="66"/>
      <c r="UTX254" s="66"/>
      <c r="UTY254" s="66"/>
      <c r="UTZ254" s="66"/>
      <c r="UUA254" s="66"/>
      <c r="UUB254" s="66"/>
      <c r="UUC254" s="66"/>
      <c r="UUD254" s="66"/>
      <c r="UUE254" s="66"/>
      <c r="UUF254" s="66"/>
      <c r="UUG254" s="66"/>
      <c r="UUH254" s="66"/>
      <c r="UUI254" s="66"/>
      <c r="UUJ254" s="66"/>
      <c r="UUK254" s="66"/>
      <c r="UUL254" s="66"/>
      <c r="UUM254" s="66"/>
      <c r="UUN254" s="66"/>
      <c r="UUO254" s="66"/>
      <c r="UUP254" s="66"/>
      <c r="UUQ254" s="66"/>
      <c r="UUR254" s="66"/>
      <c r="UUS254" s="66"/>
      <c r="UUT254" s="66"/>
      <c r="UUU254" s="66"/>
      <c r="UUV254" s="66"/>
      <c r="UUW254" s="66"/>
      <c r="UUX254" s="66"/>
      <c r="UUY254" s="66"/>
      <c r="UUZ254" s="66"/>
      <c r="UVA254" s="66"/>
      <c r="UVB254" s="66"/>
      <c r="UVC254" s="66"/>
      <c r="UVD254" s="66"/>
      <c r="UVE254" s="66"/>
      <c r="UVF254" s="66"/>
      <c r="UVG254" s="66"/>
      <c r="UVH254" s="66"/>
      <c r="UVI254" s="66"/>
      <c r="UVJ254" s="66"/>
      <c r="UVK254" s="66"/>
      <c r="UVL254" s="66"/>
      <c r="UVM254" s="66"/>
      <c r="UVN254" s="66"/>
      <c r="UVO254" s="66"/>
      <c r="UVP254" s="66"/>
      <c r="UVQ254" s="66"/>
      <c r="UVR254" s="66"/>
      <c r="UVS254" s="66"/>
      <c r="UVT254" s="66"/>
      <c r="UVU254" s="66"/>
      <c r="UVV254" s="66"/>
      <c r="UVW254" s="66"/>
      <c r="UVX254" s="66"/>
      <c r="UVY254" s="66"/>
      <c r="UVZ254" s="66"/>
      <c r="UWA254" s="66"/>
      <c r="UWB254" s="66"/>
      <c r="UWC254" s="66"/>
      <c r="UWD254" s="66"/>
      <c r="UWE254" s="66"/>
      <c r="UWF254" s="66"/>
      <c r="UWG254" s="66"/>
      <c r="UWH254" s="66"/>
      <c r="UWI254" s="66"/>
      <c r="UWJ254" s="66"/>
      <c r="UWK254" s="66"/>
      <c r="UWL254" s="66"/>
      <c r="UWM254" s="66"/>
      <c r="UWN254" s="66"/>
      <c r="UWO254" s="66"/>
      <c r="UWP254" s="66"/>
      <c r="UWQ254" s="66"/>
      <c r="UWR254" s="66"/>
      <c r="UWS254" s="66"/>
      <c r="UWT254" s="66"/>
      <c r="UWU254" s="66"/>
      <c r="UWV254" s="66"/>
      <c r="UWW254" s="66"/>
      <c r="UWX254" s="66"/>
      <c r="UWY254" s="66"/>
      <c r="UWZ254" s="66"/>
      <c r="UXA254" s="66"/>
      <c r="UXB254" s="66"/>
      <c r="UXC254" s="66"/>
      <c r="UXD254" s="66"/>
      <c r="UXE254" s="66"/>
      <c r="UXF254" s="66"/>
      <c r="UXG254" s="66"/>
      <c r="UXH254" s="66"/>
      <c r="UXI254" s="66"/>
      <c r="UXJ254" s="66"/>
      <c r="UXK254" s="66"/>
      <c r="UXL254" s="66"/>
      <c r="UXM254" s="66"/>
      <c r="UXN254" s="66"/>
      <c r="UXO254" s="66"/>
      <c r="UXP254" s="66"/>
      <c r="UXQ254" s="66"/>
      <c r="UXR254" s="66"/>
      <c r="UXS254" s="66"/>
      <c r="UXT254" s="66"/>
      <c r="UXU254" s="66"/>
      <c r="UXV254" s="66"/>
      <c r="UXW254" s="66"/>
      <c r="UXX254" s="66"/>
      <c r="UXY254" s="66"/>
      <c r="UXZ254" s="66"/>
      <c r="UYA254" s="66"/>
      <c r="UYB254" s="66"/>
      <c r="UYC254" s="66"/>
      <c r="UYD254" s="66"/>
      <c r="UYE254" s="66"/>
      <c r="UYF254" s="66"/>
      <c r="UYG254" s="66"/>
      <c r="UYH254" s="66"/>
      <c r="UYI254" s="66"/>
      <c r="UYJ254" s="66"/>
      <c r="UYK254" s="66"/>
      <c r="UYL254" s="66"/>
      <c r="UYM254" s="66"/>
      <c r="UYN254" s="66"/>
      <c r="UYO254" s="66"/>
      <c r="UYP254" s="66"/>
      <c r="UYQ254" s="66"/>
      <c r="UYR254" s="66"/>
      <c r="UYS254" s="66"/>
      <c r="UYT254" s="66"/>
      <c r="UYU254" s="66"/>
      <c r="UYV254" s="66"/>
      <c r="UYW254" s="66"/>
      <c r="UYX254" s="66"/>
      <c r="UYY254" s="66"/>
      <c r="UYZ254" s="66"/>
      <c r="UZA254" s="66"/>
      <c r="UZB254" s="66"/>
      <c r="UZC254" s="66"/>
      <c r="UZD254" s="66"/>
      <c r="UZE254" s="66"/>
      <c r="UZF254" s="66"/>
      <c r="UZG254" s="66"/>
      <c r="UZH254" s="66"/>
      <c r="UZI254" s="66"/>
      <c r="UZJ254" s="66"/>
      <c r="UZK254" s="66"/>
      <c r="UZL254" s="66"/>
      <c r="UZM254" s="66"/>
      <c r="UZN254" s="66"/>
      <c r="UZO254" s="66"/>
      <c r="UZP254" s="66"/>
      <c r="UZQ254" s="66"/>
      <c r="UZR254" s="66"/>
      <c r="UZS254" s="66"/>
      <c r="UZT254" s="66"/>
      <c r="UZU254" s="66"/>
      <c r="UZV254" s="66"/>
      <c r="UZW254" s="66"/>
      <c r="UZX254" s="66"/>
      <c r="UZY254" s="66"/>
      <c r="UZZ254" s="66"/>
      <c r="VAA254" s="66"/>
      <c r="VAB254" s="66"/>
      <c r="VAC254" s="66"/>
      <c r="VAD254" s="66"/>
      <c r="VAE254" s="66"/>
      <c r="VAF254" s="66"/>
      <c r="VAG254" s="66"/>
      <c r="VAH254" s="66"/>
      <c r="VAI254" s="66"/>
      <c r="VAJ254" s="66"/>
      <c r="VAK254" s="66"/>
      <c r="VAL254" s="66"/>
      <c r="VAM254" s="66"/>
      <c r="VAN254" s="66"/>
      <c r="VAO254" s="66"/>
      <c r="VAP254" s="66"/>
      <c r="VAQ254" s="66"/>
      <c r="VAR254" s="66"/>
      <c r="VAS254" s="66"/>
      <c r="VAT254" s="66"/>
      <c r="VAU254" s="66"/>
      <c r="VAV254" s="66"/>
      <c r="VAW254" s="66"/>
      <c r="VAX254" s="66"/>
      <c r="VAY254" s="66"/>
      <c r="VAZ254" s="66"/>
      <c r="VBA254" s="66"/>
      <c r="VBB254" s="66"/>
      <c r="VBC254" s="66"/>
      <c r="VBD254" s="66"/>
      <c r="VBE254" s="66"/>
      <c r="VBF254" s="66"/>
      <c r="VBG254" s="66"/>
      <c r="VBH254" s="66"/>
      <c r="VBI254" s="66"/>
      <c r="VBJ254" s="66"/>
      <c r="VBK254" s="66"/>
      <c r="VBL254" s="66"/>
      <c r="VBM254" s="66"/>
      <c r="VBN254" s="66"/>
      <c r="VBO254" s="66"/>
      <c r="VBP254" s="66"/>
      <c r="VBQ254" s="66"/>
      <c r="VBR254" s="66"/>
      <c r="VBS254" s="66"/>
      <c r="VBT254" s="66"/>
      <c r="VBU254" s="66"/>
      <c r="VBV254" s="66"/>
      <c r="VBW254" s="66"/>
      <c r="VBX254" s="66"/>
      <c r="VBY254" s="66"/>
      <c r="VBZ254" s="66"/>
      <c r="VCA254" s="66"/>
      <c r="VCB254" s="66"/>
      <c r="VCC254" s="66"/>
      <c r="VCD254" s="66"/>
      <c r="VCE254" s="66"/>
      <c r="VCF254" s="66"/>
      <c r="VCG254" s="66"/>
      <c r="VCH254" s="66"/>
      <c r="VCI254" s="66"/>
      <c r="VCJ254" s="66"/>
      <c r="VCK254" s="66"/>
      <c r="VCL254" s="66"/>
      <c r="VCM254" s="66"/>
      <c r="VCN254" s="66"/>
      <c r="VCO254" s="66"/>
      <c r="VCP254" s="66"/>
      <c r="VCQ254" s="66"/>
      <c r="VCR254" s="66"/>
      <c r="VCS254" s="66"/>
      <c r="VCT254" s="66"/>
      <c r="VCU254" s="66"/>
      <c r="VCV254" s="66"/>
      <c r="VCW254" s="66"/>
      <c r="VCX254" s="66"/>
      <c r="VCY254" s="66"/>
      <c r="VCZ254" s="66"/>
      <c r="VDA254" s="66"/>
      <c r="VDB254" s="66"/>
      <c r="VDC254" s="66"/>
      <c r="VDD254" s="66"/>
      <c r="VDE254" s="66"/>
      <c r="VDF254" s="66"/>
      <c r="VDG254" s="66"/>
      <c r="VDH254" s="66"/>
      <c r="VDI254" s="66"/>
      <c r="VDJ254" s="66"/>
      <c r="VDK254" s="66"/>
      <c r="VDL254" s="66"/>
      <c r="VDM254" s="66"/>
      <c r="VDN254" s="66"/>
      <c r="VDO254" s="66"/>
      <c r="VDP254" s="66"/>
      <c r="VDQ254" s="66"/>
      <c r="VDR254" s="66"/>
      <c r="VDS254" s="66"/>
      <c r="VDT254" s="66"/>
      <c r="VDU254" s="66"/>
      <c r="VDV254" s="66"/>
      <c r="VDW254" s="66"/>
      <c r="VDX254" s="66"/>
      <c r="VDY254" s="66"/>
      <c r="VDZ254" s="66"/>
      <c r="VEA254" s="66"/>
      <c r="VEB254" s="66"/>
      <c r="VEC254" s="66"/>
      <c r="VED254" s="66"/>
      <c r="VEE254" s="66"/>
      <c r="VEF254" s="66"/>
      <c r="VEG254" s="66"/>
      <c r="VEH254" s="66"/>
      <c r="VEI254" s="66"/>
      <c r="VEJ254" s="66"/>
      <c r="VEK254" s="66"/>
      <c r="VEL254" s="66"/>
      <c r="VEM254" s="66"/>
      <c r="VEN254" s="66"/>
      <c r="VEO254" s="66"/>
      <c r="VEP254" s="66"/>
      <c r="VEQ254" s="66"/>
      <c r="VER254" s="66"/>
      <c r="VES254" s="66"/>
      <c r="VET254" s="66"/>
      <c r="VEU254" s="66"/>
      <c r="VEV254" s="66"/>
      <c r="VEW254" s="66"/>
      <c r="VEX254" s="66"/>
      <c r="VEY254" s="66"/>
      <c r="VEZ254" s="66"/>
      <c r="VFA254" s="66"/>
      <c r="VFB254" s="66"/>
      <c r="VFC254" s="66"/>
      <c r="VFD254" s="66"/>
      <c r="VFE254" s="66"/>
      <c r="VFF254" s="66"/>
      <c r="VFG254" s="66"/>
      <c r="VFH254" s="66"/>
      <c r="VFI254" s="66"/>
      <c r="VFJ254" s="66"/>
      <c r="VFK254" s="66"/>
      <c r="VFL254" s="66"/>
      <c r="VFM254" s="66"/>
      <c r="VFN254" s="66"/>
      <c r="VFO254" s="66"/>
      <c r="VFP254" s="66"/>
      <c r="VFQ254" s="66"/>
      <c r="VFR254" s="66"/>
      <c r="VFS254" s="66"/>
      <c r="VFT254" s="66"/>
      <c r="VFU254" s="66"/>
      <c r="VFV254" s="66"/>
      <c r="VFW254" s="66"/>
      <c r="VFX254" s="66"/>
      <c r="VFY254" s="66"/>
      <c r="VFZ254" s="66"/>
      <c r="VGA254" s="66"/>
      <c r="VGB254" s="66"/>
      <c r="VGC254" s="66"/>
      <c r="VGD254" s="66"/>
      <c r="VGE254" s="66"/>
      <c r="VGF254" s="66"/>
      <c r="VGG254" s="66"/>
      <c r="VGH254" s="66"/>
      <c r="VGI254" s="66"/>
      <c r="VGJ254" s="66"/>
      <c r="VGK254" s="66"/>
      <c r="VGL254" s="66"/>
      <c r="VGM254" s="66"/>
      <c r="VGN254" s="66"/>
      <c r="VGO254" s="66"/>
      <c r="VGP254" s="66"/>
      <c r="VGQ254" s="66"/>
      <c r="VGR254" s="66"/>
      <c r="VGS254" s="66"/>
      <c r="VGT254" s="66"/>
      <c r="VGU254" s="66"/>
      <c r="VGV254" s="66"/>
      <c r="VGW254" s="66"/>
      <c r="VGX254" s="66"/>
      <c r="VGY254" s="66"/>
      <c r="VGZ254" s="66"/>
      <c r="VHA254" s="66"/>
      <c r="VHB254" s="66"/>
      <c r="VHC254" s="66"/>
      <c r="VHD254" s="66"/>
      <c r="VHE254" s="66"/>
      <c r="VHF254" s="66"/>
      <c r="VHG254" s="66"/>
      <c r="VHH254" s="66"/>
      <c r="VHI254" s="66"/>
      <c r="VHJ254" s="66"/>
      <c r="VHK254" s="66"/>
      <c r="VHL254" s="66"/>
      <c r="VHM254" s="66"/>
      <c r="VHN254" s="66"/>
      <c r="VHO254" s="66"/>
      <c r="VHP254" s="66"/>
      <c r="VHQ254" s="66"/>
      <c r="VHR254" s="66"/>
      <c r="VHS254" s="66"/>
      <c r="VHT254" s="66"/>
      <c r="VHU254" s="66"/>
      <c r="VHV254" s="66"/>
      <c r="VHW254" s="66"/>
      <c r="VHX254" s="66"/>
      <c r="VHY254" s="66"/>
      <c r="VHZ254" s="66"/>
      <c r="VIA254" s="66"/>
      <c r="VIB254" s="66"/>
      <c r="VIC254" s="66"/>
      <c r="VID254" s="66"/>
      <c r="VIE254" s="66"/>
      <c r="VIF254" s="66"/>
      <c r="VIG254" s="66"/>
      <c r="VIH254" s="66"/>
      <c r="VII254" s="66"/>
      <c r="VIJ254" s="66"/>
      <c r="VIK254" s="66"/>
      <c r="VIL254" s="66"/>
      <c r="VIM254" s="66"/>
      <c r="VIN254" s="66"/>
      <c r="VIO254" s="66"/>
      <c r="VIP254" s="66"/>
      <c r="VIQ254" s="66"/>
      <c r="VIR254" s="66"/>
      <c r="VIS254" s="66"/>
      <c r="VIT254" s="66"/>
      <c r="VIU254" s="66"/>
      <c r="VIV254" s="66"/>
      <c r="VIW254" s="66"/>
      <c r="VIX254" s="66"/>
      <c r="VIY254" s="66"/>
      <c r="VIZ254" s="66"/>
      <c r="VJA254" s="66"/>
      <c r="VJB254" s="66"/>
      <c r="VJC254" s="66"/>
      <c r="VJD254" s="66"/>
      <c r="VJE254" s="66"/>
      <c r="VJF254" s="66"/>
      <c r="VJG254" s="66"/>
      <c r="VJH254" s="66"/>
      <c r="VJI254" s="66"/>
      <c r="VJJ254" s="66"/>
      <c r="VJK254" s="66"/>
      <c r="VJL254" s="66"/>
      <c r="VJM254" s="66"/>
      <c r="VJN254" s="66"/>
      <c r="VJO254" s="66"/>
      <c r="VJP254" s="66"/>
      <c r="VJQ254" s="66"/>
      <c r="VJR254" s="66"/>
      <c r="VJS254" s="66"/>
      <c r="VJT254" s="66"/>
      <c r="VJU254" s="66"/>
      <c r="VJV254" s="66"/>
      <c r="VJW254" s="66"/>
      <c r="VJX254" s="66"/>
      <c r="VJY254" s="66"/>
      <c r="VJZ254" s="66"/>
      <c r="VKA254" s="66"/>
      <c r="VKB254" s="66"/>
      <c r="VKC254" s="66"/>
      <c r="VKD254" s="66"/>
      <c r="VKE254" s="66"/>
      <c r="VKF254" s="66"/>
      <c r="VKG254" s="66"/>
      <c r="VKH254" s="66"/>
      <c r="VKI254" s="66"/>
      <c r="VKJ254" s="66"/>
      <c r="VKK254" s="66"/>
      <c r="VKL254" s="66"/>
      <c r="VKM254" s="66"/>
      <c r="VKN254" s="66"/>
      <c r="VKO254" s="66"/>
      <c r="VKP254" s="66"/>
      <c r="VKQ254" s="66"/>
      <c r="VKR254" s="66"/>
      <c r="VKS254" s="66"/>
      <c r="VKT254" s="66"/>
      <c r="VKU254" s="66"/>
      <c r="VKV254" s="66"/>
      <c r="VKW254" s="66"/>
      <c r="VKX254" s="66"/>
      <c r="VKY254" s="66"/>
      <c r="VKZ254" s="66"/>
      <c r="VLA254" s="66"/>
      <c r="VLB254" s="66"/>
      <c r="VLC254" s="66"/>
      <c r="VLD254" s="66"/>
      <c r="VLE254" s="66"/>
      <c r="VLF254" s="66"/>
      <c r="VLG254" s="66"/>
      <c r="VLH254" s="66"/>
      <c r="VLI254" s="66"/>
      <c r="VLJ254" s="66"/>
      <c r="VLK254" s="66"/>
      <c r="VLL254" s="66"/>
      <c r="VLM254" s="66"/>
      <c r="VLN254" s="66"/>
      <c r="VLO254" s="66"/>
      <c r="VLP254" s="66"/>
      <c r="VLQ254" s="66"/>
      <c r="VLR254" s="66"/>
      <c r="VLS254" s="66"/>
      <c r="VLT254" s="66"/>
      <c r="VLU254" s="66"/>
      <c r="VLV254" s="66"/>
      <c r="VLW254" s="66"/>
      <c r="VLX254" s="66"/>
      <c r="VLY254" s="66"/>
      <c r="VLZ254" s="66"/>
      <c r="VMA254" s="66"/>
      <c r="VMB254" s="66"/>
      <c r="VMC254" s="66"/>
      <c r="VMD254" s="66"/>
      <c r="VME254" s="66"/>
      <c r="VMF254" s="66"/>
      <c r="VMG254" s="66"/>
      <c r="VMH254" s="66"/>
      <c r="VMI254" s="66"/>
      <c r="VMJ254" s="66"/>
      <c r="VMK254" s="66"/>
      <c r="VML254" s="66"/>
      <c r="VMM254" s="66"/>
      <c r="VMN254" s="66"/>
      <c r="VMO254" s="66"/>
      <c r="VMP254" s="66"/>
      <c r="VMQ254" s="66"/>
      <c r="VMR254" s="66"/>
      <c r="VMS254" s="66"/>
      <c r="VMT254" s="66"/>
      <c r="VMU254" s="66"/>
      <c r="VMV254" s="66"/>
      <c r="VMW254" s="66"/>
      <c r="VMX254" s="66"/>
      <c r="VMY254" s="66"/>
      <c r="VMZ254" s="66"/>
      <c r="VNA254" s="66"/>
      <c r="VNB254" s="66"/>
      <c r="VNC254" s="66"/>
      <c r="VND254" s="66"/>
      <c r="VNE254" s="66"/>
      <c r="VNF254" s="66"/>
      <c r="VNG254" s="66"/>
      <c r="VNH254" s="66"/>
      <c r="VNI254" s="66"/>
      <c r="VNJ254" s="66"/>
      <c r="VNK254" s="66"/>
      <c r="VNL254" s="66"/>
      <c r="VNM254" s="66"/>
      <c r="VNN254" s="66"/>
      <c r="VNO254" s="66"/>
      <c r="VNP254" s="66"/>
      <c r="VNQ254" s="66"/>
      <c r="VNR254" s="66"/>
      <c r="VNS254" s="66"/>
      <c r="VNT254" s="66"/>
      <c r="VNU254" s="66"/>
      <c r="VNV254" s="66"/>
      <c r="VNW254" s="66"/>
      <c r="VNX254" s="66"/>
      <c r="VNY254" s="66"/>
      <c r="VNZ254" s="66"/>
      <c r="VOA254" s="66"/>
      <c r="VOB254" s="66"/>
      <c r="VOC254" s="66"/>
      <c r="VOD254" s="66"/>
      <c r="VOE254" s="66"/>
      <c r="VOF254" s="66"/>
      <c r="VOG254" s="66"/>
      <c r="VOH254" s="66"/>
      <c r="VOI254" s="66"/>
      <c r="VOJ254" s="66"/>
      <c r="VOK254" s="66"/>
      <c r="VOL254" s="66"/>
      <c r="VOM254" s="66"/>
      <c r="VON254" s="66"/>
      <c r="VOO254" s="66"/>
      <c r="VOP254" s="66"/>
      <c r="VOQ254" s="66"/>
      <c r="VOR254" s="66"/>
      <c r="VOS254" s="66"/>
      <c r="VOT254" s="66"/>
      <c r="VOU254" s="66"/>
      <c r="VOV254" s="66"/>
      <c r="VOW254" s="66"/>
      <c r="VOX254" s="66"/>
      <c r="VOY254" s="66"/>
      <c r="VOZ254" s="66"/>
      <c r="VPA254" s="66"/>
      <c r="VPB254" s="66"/>
      <c r="VPC254" s="66"/>
      <c r="VPD254" s="66"/>
      <c r="VPE254" s="66"/>
      <c r="VPF254" s="66"/>
      <c r="VPG254" s="66"/>
      <c r="VPH254" s="66"/>
      <c r="VPI254" s="66"/>
      <c r="VPJ254" s="66"/>
      <c r="VPK254" s="66"/>
      <c r="VPL254" s="66"/>
      <c r="VPM254" s="66"/>
      <c r="VPN254" s="66"/>
      <c r="VPO254" s="66"/>
      <c r="VPP254" s="66"/>
      <c r="VPQ254" s="66"/>
      <c r="VPR254" s="66"/>
      <c r="VPS254" s="66"/>
      <c r="VPT254" s="66"/>
      <c r="VPU254" s="66"/>
      <c r="VPV254" s="66"/>
      <c r="VPW254" s="66"/>
      <c r="VPX254" s="66"/>
      <c r="VPY254" s="66"/>
      <c r="VPZ254" s="66"/>
      <c r="VQA254" s="66"/>
      <c r="VQB254" s="66"/>
      <c r="VQC254" s="66"/>
      <c r="VQD254" s="66"/>
      <c r="VQE254" s="66"/>
      <c r="VQF254" s="66"/>
      <c r="VQG254" s="66"/>
      <c r="VQH254" s="66"/>
      <c r="VQI254" s="66"/>
      <c r="VQJ254" s="66"/>
      <c r="VQK254" s="66"/>
      <c r="VQL254" s="66"/>
      <c r="VQM254" s="66"/>
      <c r="VQN254" s="66"/>
      <c r="VQO254" s="66"/>
      <c r="VQP254" s="66"/>
      <c r="VQQ254" s="66"/>
      <c r="VQR254" s="66"/>
      <c r="VQS254" s="66"/>
      <c r="VQT254" s="66"/>
      <c r="VQU254" s="66"/>
      <c r="VQV254" s="66"/>
      <c r="VQW254" s="66"/>
      <c r="VQX254" s="66"/>
      <c r="VQY254" s="66"/>
      <c r="VQZ254" s="66"/>
      <c r="VRA254" s="66"/>
      <c r="VRB254" s="66"/>
      <c r="VRC254" s="66"/>
      <c r="VRD254" s="66"/>
      <c r="VRE254" s="66"/>
      <c r="VRF254" s="66"/>
      <c r="VRG254" s="66"/>
      <c r="VRH254" s="66"/>
      <c r="VRI254" s="66"/>
      <c r="VRJ254" s="66"/>
      <c r="VRK254" s="66"/>
      <c r="VRL254" s="66"/>
      <c r="VRM254" s="66"/>
      <c r="VRN254" s="66"/>
      <c r="VRO254" s="66"/>
      <c r="VRP254" s="66"/>
      <c r="VRQ254" s="66"/>
      <c r="VRR254" s="66"/>
      <c r="VRS254" s="66"/>
      <c r="VRT254" s="66"/>
      <c r="VRU254" s="66"/>
      <c r="VRV254" s="66"/>
      <c r="VRW254" s="66"/>
      <c r="VRX254" s="66"/>
      <c r="VRY254" s="66"/>
      <c r="VRZ254" s="66"/>
      <c r="VSA254" s="66"/>
      <c r="VSB254" s="66"/>
      <c r="VSC254" s="66"/>
      <c r="VSD254" s="66"/>
      <c r="VSE254" s="66"/>
      <c r="VSF254" s="66"/>
      <c r="VSG254" s="66"/>
      <c r="VSH254" s="66"/>
      <c r="VSI254" s="66"/>
      <c r="VSJ254" s="66"/>
      <c r="VSK254" s="66"/>
      <c r="VSL254" s="66"/>
      <c r="VSM254" s="66"/>
      <c r="VSN254" s="66"/>
      <c r="VSO254" s="66"/>
      <c r="VSP254" s="66"/>
      <c r="VSQ254" s="66"/>
      <c r="VSR254" s="66"/>
      <c r="VSS254" s="66"/>
      <c r="VST254" s="66"/>
      <c r="VSU254" s="66"/>
      <c r="VSV254" s="66"/>
      <c r="VSW254" s="66"/>
      <c r="VSX254" s="66"/>
      <c r="VSY254" s="66"/>
      <c r="VSZ254" s="66"/>
      <c r="VTA254" s="66"/>
      <c r="VTB254" s="66"/>
      <c r="VTC254" s="66"/>
      <c r="VTD254" s="66"/>
      <c r="VTE254" s="66"/>
      <c r="VTF254" s="66"/>
      <c r="VTG254" s="66"/>
      <c r="VTH254" s="66"/>
      <c r="VTI254" s="66"/>
      <c r="VTJ254" s="66"/>
      <c r="VTK254" s="66"/>
      <c r="VTL254" s="66"/>
      <c r="VTM254" s="66"/>
      <c r="VTN254" s="66"/>
      <c r="VTO254" s="66"/>
      <c r="VTP254" s="66"/>
      <c r="VTQ254" s="66"/>
      <c r="VTR254" s="66"/>
      <c r="VTS254" s="66"/>
      <c r="VTT254" s="66"/>
      <c r="VTU254" s="66"/>
      <c r="VTV254" s="66"/>
      <c r="VTW254" s="66"/>
      <c r="VTX254" s="66"/>
      <c r="VTY254" s="66"/>
      <c r="VTZ254" s="66"/>
      <c r="VUA254" s="66"/>
      <c r="VUB254" s="66"/>
      <c r="VUC254" s="66"/>
      <c r="VUD254" s="66"/>
      <c r="VUE254" s="66"/>
      <c r="VUF254" s="66"/>
      <c r="VUG254" s="66"/>
      <c r="VUH254" s="66"/>
      <c r="VUI254" s="66"/>
      <c r="VUJ254" s="66"/>
      <c r="VUK254" s="66"/>
      <c r="VUL254" s="66"/>
      <c r="VUM254" s="66"/>
      <c r="VUN254" s="66"/>
      <c r="VUO254" s="66"/>
      <c r="VUP254" s="66"/>
      <c r="VUQ254" s="66"/>
      <c r="VUR254" s="66"/>
      <c r="VUS254" s="66"/>
      <c r="VUT254" s="66"/>
      <c r="VUU254" s="66"/>
      <c r="VUV254" s="66"/>
      <c r="VUW254" s="66"/>
      <c r="VUX254" s="66"/>
      <c r="VUY254" s="66"/>
      <c r="VUZ254" s="66"/>
      <c r="VVA254" s="66"/>
      <c r="VVB254" s="66"/>
      <c r="VVC254" s="66"/>
      <c r="VVD254" s="66"/>
      <c r="VVE254" s="66"/>
      <c r="VVF254" s="66"/>
      <c r="VVG254" s="66"/>
      <c r="VVH254" s="66"/>
      <c r="VVI254" s="66"/>
      <c r="VVJ254" s="66"/>
      <c r="VVK254" s="66"/>
      <c r="VVL254" s="66"/>
      <c r="VVM254" s="66"/>
      <c r="VVN254" s="66"/>
      <c r="VVO254" s="66"/>
      <c r="VVP254" s="66"/>
      <c r="VVQ254" s="66"/>
      <c r="VVR254" s="66"/>
      <c r="VVS254" s="66"/>
      <c r="VVT254" s="66"/>
      <c r="VVU254" s="66"/>
      <c r="VVV254" s="66"/>
      <c r="VVW254" s="66"/>
      <c r="VVX254" s="66"/>
      <c r="VVY254" s="66"/>
      <c r="VVZ254" s="66"/>
      <c r="VWA254" s="66"/>
      <c r="VWB254" s="66"/>
      <c r="VWC254" s="66"/>
      <c r="VWD254" s="66"/>
      <c r="VWE254" s="66"/>
      <c r="VWF254" s="66"/>
      <c r="VWG254" s="66"/>
      <c r="VWH254" s="66"/>
      <c r="VWI254" s="66"/>
      <c r="VWJ254" s="66"/>
      <c r="VWK254" s="66"/>
      <c r="VWL254" s="66"/>
      <c r="VWM254" s="66"/>
      <c r="VWN254" s="66"/>
      <c r="VWO254" s="66"/>
      <c r="VWP254" s="66"/>
      <c r="VWQ254" s="66"/>
      <c r="VWR254" s="66"/>
      <c r="VWS254" s="66"/>
      <c r="VWT254" s="66"/>
      <c r="VWU254" s="66"/>
      <c r="VWV254" s="66"/>
      <c r="VWW254" s="66"/>
      <c r="VWX254" s="66"/>
      <c r="VWY254" s="66"/>
      <c r="VWZ254" s="66"/>
      <c r="VXA254" s="66"/>
      <c r="VXB254" s="66"/>
      <c r="VXC254" s="66"/>
      <c r="VXD254" s="66"/>
      <c r="VXE254" s="66"/>
      <c r="VXF254" s="66"/>
      <c r="VXG254" s="66"/>
      <c r="VXH254" s="66"/>
      <c r="VXI254" s="66"/>
      <c r="VXJ254" s="66"/>
      <c r="VXK254" s="66"/>
      <c r="VXL254" s="66"/>
      <c r="VXM254" s="66"/>
      <c r="VXN254" s="66"/>
      <c r="VXO254" s="66"/>
      <c r="VXP254" s="66"/>
      <c r="VXQ254" s="66"/>
      <c r="VXR254" s="66"/>
      <c r="VXS254" s="66"/>
      <c r="VXT254" s="66"/>
      <c r="VXU254" s="66"/>
      <c r="VXV254" s="66"/>
      <c r="VXW254" s="66"/>
      <c r="VXX254" s="66"/>
      <c r="VXY254" s="66"/>
      <c r="VXZ254" s="66"/>
      <c r="VYA254" s="66"/>
      <c r="VYB254" s="66"/>
      <c r="VYC254" s="66"/>
      <c r="VYD254" s="66"/>
      <c r="VYE254" s="66"/>
      <c r="VYF254" s="66"/>
      <c r="VYG254" s="66"/>
      <c r="VYH254" s="66"/>
      <c r="VYI254" s="66"/>
      <c r="VYJ254" s="66"/>
      <c r="VYK254" s="66"/>
      <c r="VYL254" s="66"/>
      <c r="VYM254" s="66"/>
      <c r="VYN254" s="66"/>
      <c r="VYO254" s="66"/>
      <c r="VYP254" s="66"/>
      <c r="VYQ254" s="66"/>
      <c r="VYR254" s="66"/>
      <c r="VYS254" s="66"/>
      <c r="VYT254" s="66"/>
      <c r="VYU254" s="66"/>
      <c r="VYV254" s="66"/>
      <c r="VYW254" s="66"/>
      <c r="VYX254" s="66"/>
      <c r="VYY254" s="66"/>
      <c r="VYZ254" s="66"/>
      <c r="VZA254" s="66"/>
      <c r="VZB254" s="66"/>
      <c r="VZC254" s="66"/>
      <c r="VZD254" s="66"/>
      <c r="VZE254" s="66"/>
      <c r="VZF254" s="66"/>
      <c r="VZG254" s="66"/>
      <c r="VZH254" s="66"/>
      <c r="VZI254" s="66"/>
      <c r="VZJ254" s="66"/>
      <c r="VZK254" s="66"/>
      <c r="VZL254" s="66"/>
      <c r="VZM254" s="66"/>
      <c r="VZN254" s="66"/>
      <c r="VZO254" s="66"/>
      <c r="VZP254" s="66"/>
      <c r="VZQ254" s="66"/>
      <c r="VZR254" s="66"/>
      <c r="VZS254" s="66"/>
      <c r="VZT254" s="66"/>
      <c r="VZU254" s="66"/>
      <c r="VZV254" s="66"/>
      <c r="VZW254" s="66"/>
      <c r="VZX254" s="66"/>
      <c r="VZY254" s="66"/>
      <c r="VZZ254" s="66"/>
      <c r="WAA254" s="66"/>
      <c r="WAB254" s="66"/>
      <c r="WAC254" s="66"/>
      <c r="WAD254" s="66"/>
      <c r="WAE254" s="66"/>
      <c r="WAF254" s="66"/>
      <c r="WAG254" s="66"/>
      <c r="WAH254" s="66"/>
      <c r="WAI254" s="66"/>
      <c r="WAJ254" s="66"/>
      <c r="WAK254" s="66"/>
      <c r="WAL254" s="66"/>
      <c r="WAM254" s="66"/>
      <c r="WAN254" s="66"/>
      <c r="WAO254" s="66"/>
      <c r="WAP254" s="66"/>
      <c r="WAQ254" s="66"/>
      <c r="WAR254" s="66"/>
      <c r="WAS254" s="66"/>
      <c r="WAT254" s="66"/>
      <c r="WAU254" s="66"/>
      <c r="WAV254" s="66"/>
      <c r="WAW254" s="66"/>
      <c r="WAX254" s="66"/>
      <c r="WAY254" s="66"/>
      <c r="WAZ254" s="66"/>
      <c r="WBA254" s="66"/>
      <c r="WBB254" s="66"/>
      <c r="WBC254" s="66"/>
      <c r="WBD254" s="66"/>
      <c r="WBE254" s="66"/>
      <c r="WBF254" s="66"/>
      <c r="WBG254" s="66"/>
      <c r="WBH254" s="66"/>
      <c r="WBI254" s="66"/>
      <c r="WBJ254" s="66"/>
      <c r="WBK254" s="66"/>
      <c r="WBL254" s="66"/>
      <c r="WBM254" s="66"/>
      <c r="WBN254" s="66"/>
      <c r="WBO254" s="66"/>
      <c r="WBP254" s="66"/>
      <c r="WBQ254" s="66"/>
      <c r="WBR254" s="66"/>
      <c r="WBS254" s="66"/>
      <c r="WBT254" s="66"/>
      <c r="WBU254" s="66"/>
      <c r="WBV254" s="66"/>
      <c r="WBW254" s="66"/>
      <c r="WBX254" s="66"/>
      <c r="WBY254" s="66"/>
      <c r="WBZ254" s="66"/>
      <c r="WCA254" s="66"/>
      <c r="WCB254" s="66"/>
      <c r="WCC254" s="66"/>
      <c r="WCD254" s="66"/>
      <c r="WCE254" s="66"/>
      <c r="WCF254" s="66"/>
      <c r="WCG254" s="66"/>
      <c r="WCH254" s="66"/>
      <c r="WCI254" s="66"/>
      <c r="WCJ254" s="66"/>
      <c r="WCK254" s="66"/>
      <c r="WCL254" s="66"/>
      <c r="WCM254" s="66"/>
      <c r="WCN254" s="66"/>
      <c r="WCO254" s="66"/>
      <c r="WCP254" s="66"/>
      <c r="WCQ254" s="66"/>
      <c r="WCR254" s="66"/>
      <c r="WCS254" s="66"/>
      <c r="WCT254" s="66"/>
      <c r="WCU254" s="66"/>
      <c r="WCV254" s="66"/>
      <c r="WCW254" s="66"/>
      <c r="WCX254" s="66"/>
      <c r="WCY254" s="66"/>
      <c r="WCZ254" s="66"/>
      <c r="WDA254" s="66"/>
      <c r="WDB254" s="66"/>
      <c r="WDC254" s="66"/>
      <c r="WDD254" s="66"/>
      <c r="WDE254" s="66"/>
      <c r="WDF254" s="66"/>
      <c r="WDG254" s="66"/>
      <c r="WDH254" s="66"/>
      <c r="WDI254" s="66"/>
      <c r="WDJ254" s="66"/>
      <c r="WDK254" s="66"/>
      <c r="WDL254" s="66"/>
      <c r="WDM254" s="66"/>
      <c r="WDN254" s="66"/>
      <c r="WDO254" s="66"/>
      <c r="WDP254" s="66"/>
      <c r="WDQ254" s="66"/>
      <c r="WDR254" s="66"/>
      <c r="WDS254" s="66"/>
      <c r="WDT254" s="66"/>
      <c r="WDU254" s="66"/>
      <c r="WDV254" s="66"/>
      <c r="WDW254" s="66"/>
      <c r="WDX254" s="66"/>
      <c r="WDY254" s="66"/>
      <c r="WDZ254" s="66"/>
      <c r="WEA254" s="66"/>
      <c r="WEB254" s="66"/>
      <c r="WEC254" s="66"/>
      <c r="WED254" s="66"/>
      <c r="WEE254" s="66"/>
      <c r="WEF254" s="66"/>
      <c r="WEG254" s="66"/>
      <c r="WEH254" s="66"/>
      <c r="WEI254" s="66"/>
      <c r="WEJ254" s="66"/>
      <c r="WEK254" s="66"/>
      <c r="WEL254" s="66"/>
      <c r="WEM254" s="66"/>
      <c r="WEN254" s="66"/>
      <c r="WEO254" s="66"/>
      <c r="WEP254" s="66"/>
      <c r="WEQ254" s="66"/>
      <c r="WER254" s="66"/>
      <c r="WES254" s="66"/>
      <c r="WET254" s="66"/>
      <c r="WEU254" s="66"/>
      <c r="WEV254" s="66"/>
      <c r="WEW254" s="66"/>
      <c r="WEX254" s="66"/>
      <c r="WEY254" s="66"/>
      <c r="WEZ254" s="66"/>
      <c r="WFA254" s="66"/>
      <c r="WFB254" s="66"/>
      <c r="WFC254" s="66"/>
      <c r="WFD254" s="66"/>
      <c r="WFE254" s="66"/>
      <c r="WFF254" s="66"/>
      <c r="WFG254" s="66"/>
      <c r="WFH254" s="66"/>
      <c r="WFI254" s="66"/>
      <c r="WFJ254" s="66"/>
      <c r="WFK254" s="66"/>
      <c r="WFL254" s="66"/>
      <c r="WFM254" s="66"/>
      <c r="WFN254" s="66"/>
      <c r="WFO254" s="66"/>
      <c r="WFP254" s="66"/>
      <c r="WFQ254" s="66"/>
      <c r="WFR254" s="66"/>
      <c r="WFS254" s="66"/>
      <c r="WFT254" s="66"/>
      <c r="WFU254" s="66"/>
      <c r="WFV254" s="66"/>
      <c r="WFW254" s="66"/>
      <c r="WFX254" s="66"/>
      <c r="WFY254" s="66"/>
      <c r="WFZ254" s="66"/>
      <c r="WGA254" s="66"/>
      <c r="WGB254" s="66"/>
      <c r="WGC254" s="66"/>
      <c r="WGD254" s="66"/>
      <c r="WGE254" s="66"/>
      <c r="WGF254" s="66"/>
      <c r="WGG254" s="66"/>
      <c r="WGH254" s="66"/>
      <c r="WGI254" s="66"/>
      <c r="WGJ254" s="66"/>
      <c r="WGK254" s="66"/>
      <c r="WGL254" s="66"/>
      <c r="WGM254" s="66"/>
      <c r="WGN254" s="66"/>
      <c r="WGO254" s="66"/>
      <c r="WGP254" s="66"/>
      <c r="WGQ254" s="66"/>
      <c r="WGR254" s="66"/>
      <c r="WGS254" s="66"/>
      <c r="WGT254" s="66"/>
      <c r="WGU254" s="66"/>
      <c r="WGV254" s="66"/>
      <c r="WGW254" s="66"/>
      <c r="WGX254" s="66"/>
      <c r="WGY254" s="66"/>
      <c r="WGZ254" s="66"/>
      <c r="WHA254" s="66"/>
      <c r="WHB254" s="66"/>
      <c r="WHC254" s="66"/>
      <c r="WHD254" s="66"/>
      <c r="WHE254" s="66"/>
      <c r="WHF254" s="66"/>
      <c r="WHG254" s="66"/>
      <c r="WHH254" s="66"/>
      <c r="WHI254" s="66"/>
      <c r="WHJ254" s="66"/>
      <c r="WHK254" s="66"/>
      <c r="WHL254" s="66"/>
      <c r="WHM254" s="66"/>
      <c r="WHN254" s="66"/>
      <c r="WHO254" s="66"/>
      <c r="WHP254" s="66"/>
      <c r="WHQ254" s="66"/>
      <c r="WHR254" s="66"/>
      <c r="WHS254" s="66"/>
      <c r="WHT254" s="66"/>
      <c r="WHU254" s="66"/>
      <c r="WHV254" s="66"/>
      <c r="WHW254" s="66"/>
      <c r="WHX254" s="66"/>
      <c r="WHY254" s="66"/>
      <c r="WHZ254" s="66"/>
      <c r="WIA254" s="66"/>
      <c r="WIB254" s="66"/>
      <c r="WIC254" s="66"/>
      <c r="WID254" s="66"/>
      <c r="WIE254" s="66"/>
      <c r="WIF254" s="66"/>
      <c r="WIG254" s="66"/>
      <c r="WIH254" s="66"/>
      <c r="WII254" s="66"/>
      <c r="WIJ254" s="66"/>
      <c r="WIK254" s="66"/>
      <c r="WIL254" s="66"/>
      <c r="WIM254" s="66"/>
      <c r="WIN254" s="66"/>
      <c r="WIO254" s="66"/>
      <c r="WIP254" s="66"/>
      <c r="WIQ254" s="66"/>
      <c r="WIR254" s="66"/>
      <c r="WIS254" s="66"/>
      <c r="WIT254" s="66"/>
      <c r="WIU254" s="66"/>
      <c r="WIV254" s="66"/>
      <c r="WIW254" s="66"/>
      <c r="WIX254" s="66"/>
      <c r="WIY254" s="66"/>
      <c r="WIZ254" s="66"/>
      <c r="WJA254" s="66"/>
      <c r="WJB254" s="66"/>
      <c r="WJC254" s="66"/>
      <c r="WJD254" s="66"/>
      <c r="WJE254" s="66"/>
      <c r="WJF254" s="66"/>
      <c r="WJG254" s="66"/>
      <c r="WJH254" s="66"/>
      <c r="WJI254" s="66"/>
      <c r="WJJ254" s="66"/>
      <c r="WJK254" s="66"/>
      <c r="WJL254" s="66"/>
      <c r="WJM254" s="66"/>
      <c r="WJN254" s="66"/>
      <c r="WJO254" s="66"/>
      <c r="WJP254" s="66"/>
      <c r="WJQ254" s="66"/>
      <c r="WJR254" s="66"/>
      <c r="WJS254" s="66"/>
      <c r="WJT254" s="66"/>
      <c r="WJU254" s="66"/>
      <c r="WJV254" s="66"/>
      <c r="WJW254" s="66"/>
      <c r="WJX254" s="66"/>
      <c r="WJY254" s="66"/>
      <c r="WJZ254" s="66"/>
      <c r="WKA254" s="66"/>
      <c r="WKB254" s="66"/>
      <c r="WKC254" s="66"/>
      <c r="WKD254" s="66"/>
      <c r="WKE254" s="66"/>
      <c r="WKF254" s="66"/>
      <c r="WKG254" s="66"/>
      <c r="WKH254" s="66"/>
      <c r="WKI254" s="66"/>
      <c r="WKJ254" s="66"/>
      <c r="WKK254" s="66"/>
      <c r="WKL254" s="66"/>
      <c r="WKM254" s="66"/>
      <c r="WKN254" s="66"/>
      <c r="WKO254" s="66"/>
      <c r="WKP254" s="66"/>
      <c r="WKQ254" s="66"/>
      <c r="WKR254" s="66"/>
      <c r="WKS254" s="66"/>
      <c r="WKT254" s="66"/>
      <c r="WKU254" s="66"/>
      <c r="WKV254" s="66"/>
      <c r="WKW254" s="66"/>
      <c r="WKX254" s="66"/>
      <c r="WKY254" s="66"/>
      <c r="WKZ254" s="66"/>
      <c r="WLA254" s="66"/>
      <c r="WLB254" s="66"/>
      <c r="WLC254" s="66"/>
      <c r="WLD254" s="66"/>
      <c r="WLE254" s="66"/>
      <c r="WLF254" s="66"/>
      <c r="WLG254" s="66"/>
      <c r="WLH254" s="66"/>
      <c r="WLI254" s="66"/>
      <c r="WLJ254" s="66"/>
      <c r="WLK254" s="66"/>
      <c r="WLL254" s="66"/>
      <c r="WLM254" s="66"/>
      <c r="WLN254" s="66"/>
      <c r="WLO254" s="66"/>
      <c r="WLP254" s="66"/>
      <c r="WLQ254" s="66"/>
      <c r="WLR254" s="66"/>
      <c r="WLS254" s="66"/>
      <c r="WLT254" s="66"/>
      <c r="WLU254" s="66"/>
      <c r="WLV254" s="66"/>
      <c r="WLW254" s="66"/>
      <c r="WLX254" s="66"/>
      <c r="WLY254" s="66"/>
      <c r="WLZ254" s="66"/>
      <c r="WMA254" s="66"/>
      <c r="WMB254" s="66"/>
      <c r="WMC254" s="66"/>
      <c r="WMD254" s="66"/>
      <c r="WME254" s="66"/>
      <c r="WMF254" s="66"/>
      <c r="WMG254" s="66"/>
      <c r="WMH254" s="66"/>
      <c r="WMI254" s="66"/>
      <c r="WMJ254" s="66"/>
      <c r="WMK254" s="66"/>
      <c r="WML254" s="66"/>
      <c r="WMM254" s="66"/>
      <c r="WMN254" s="66"/>
      <c r="WMO254" s="66"/>
      <c r="WMP254" s="66"/>
      <c r="WMQ254" s="66"/>
      <c r="WMR254" s="66"/>
      <c r="WMS254" s="66"/>
      <c r="WMT254" s="66"/>
      <c r="WMU254" s="66"/>
      <c r="WMV254" s="66"/>
      <c r="WMW254" s="66"/>
      <c r="WMX254" s="66"/>
      <c r="WMY254" s="66"/>
      <c r="WMZ254" s="66"/>
      <c r="WNA254" s="66"/>
      <c r="WNB254" s="66"/>
      <c r="WNC254" s="66"/>
      <c r="WND254" s="66"/>
      <c r="WNE254" s="66"/>
      <c r="WNF254" s="66"/>
      <c r="WNG254" s="66"/>
      <c r="WNH254" s="66"/>
      <c r="WNI254" s="66"/>
      <c r="WNJ254" s="66"/>
      <c r="WNK254" s="66"/>
      <c r="WNL254" s="66"/>
      <c r="WNM254" s="66"/>
      <c r="WNN254" s="66"/>
      <c r="WNO254" s="66"/>
      <c r="WNP254" s="66"/>
      <c r="WNQ254" s="66"/>
      <c r="WNR254" s="66"/>
      <c r="WNS254" s="66"/>
      <c r="WNT254" s="66"/>
      <c r="WNU254" s="66"/>
      <c r="WNV254" s="66"/>
      <c r="WNW254" s="66"/>
      <c r="WNX254" s="66"/>
      <c r="WNY254" s="66"/>
      <c r="WNZ254" s="66"/>
      <c r="WOA254" s="66"/>
      <c r="WOB254" s="66"/>
      <c r="WOC254" s="66"/>
      <c r="WOD254" s="66"/>
      <c r="WOE254" s="66"/>
      <c r="WOF254" s="66"/>
      <c r="WOG254" s="66"/>
      <c r="WOH254" s="66"/>
      <c r="WOI254" s="66"/>
      <c r="WOJ254" s="66"/>
      <c r="WOK254" s="66"/>
      <c r="WOL254" s="66"/>
      <c r="WOM254" s="66"/>
      <c r="WON254" s="66"/>
      <c r="WOO254" s="66"/>
      <c r="WOP254" s="66"/>
      <c r="WOQ254" s="66"/>
      <c r="WOR254" s="66"/>
      <c r="WOS254" s="66"/>
      <c r="WOT254" s="66"/>
      <c r="WOU254" s="66"/>
      <c r="WOV254" s="66"/>
      <c r="WOW254" s="66"/>
      <c r="WOX254" s="66"/>
      <c r="WOY254" s="66"/>
      <c r="WOZ254" s="66"/>
      <c r="WPA254" s="66"/>
      <c r="WPB254" s="66"/>
      <c r="WPC254" s="66"/>
      <c r="WPD254" s="66"/>
      <c r="WPE254" s="66"/>
      <c r="WPF254" s="66"/>
      <c r="WPG254" s="66"/>
      <c r="WPH254" s="66"/>
      <c r="WPI254" s="66"/>
      <c r="WPJ254" s="66"/>
      <c r="WPK254" s="66"/>
      <c r="WPL254" s="66"/>
      <c r="WPM254" s="66"/>
      <c r="WPN254" s="66"/>
      <c r="WPO254" s="66"/>
      <c r="WPP254" s="66"/>
      <c r="WPQ254" s="66"/>
      <c r="WPR254" s="66"/>
      <c r="WPS254" s="66"/>
      <c r="WPT254" s="66"/>
      <c r="WPU254" s="66"/>
      <c r="WPV254" s="66"/>
      <c r="WPW254" s="66"/>
      <c r="WPX254" s="66"/>
      <c r="WPY254" s="66"/>
      <c r="WPZ254" s="66"/>
      <c r="WQA254" s="66"/>
      <c r="WQB254" s="66"/>
      <c r="WQC254" s="66"/>
      <c r="WQD254" s="66"/>
      <c r="WQE254" s="66"/>
      <c r="WQF254" s="66"/>
      <c r="WQG254" s="66"/>
      <c r="WQH254" s="66"/>
      <c r="WQI254" s="66"/>
      <c r="WQJ254" s="66"/>
      <c r="WQK254" s="66"/>
      <c r="WQL254" s="66"/>
      <c r="WQM254" s="66"/>
      <c r="WQN254" s="66"/>
      <c r="WQO254" s="66"/>
      <c r="WQP254" s="66"/>
      <c r="WQQ254" s="66"/>
      <c r="WQR254" s="66"/>
      <c r="WQS254" s="66"/>
      <c r="WQT254" s="66"/>
      <c r="WQU254" s="66"/>
      <c r="WQV254" s="66"/>
      <c r="WQW254" s="66"/>
      <c r="WQX254" s="66"/>
      <c r="WQY254" s="66"/>
      <c r="WQZ254" s="66"/>
      <c r="WRA254" s="66"/>
      <c r="WRB254" s="66"/>
      <c r="WRC254" s="66"/>
      <c r="WRD254" s="66"/>
      <c r="WRE254" s="66"/>
      <c r="WRF254" s="66"/>
      <c r="WRG254" s="66"/>
      <c r="WRH254" s="66"/>
      <c r="WRI254" s="66"/>
      <c r="WRJ254" s="66"/>
      <c r="WRK254" s="66"/>
      <c r="WRL254" s="66"/>
      <c r="WRM254" s="66"/>
      <c r="WRN254" s="66"/>
      <c r="WRO254" s="66"/>
      <c r="WRP254" s="66"/>
      <c r="WRQ254" s="66"/>
      <c r="WRR254" s="66"/>
      <c r="WRS254" s="66"/>
      <c r="WRT254" s="66"/>
      <c r="WRU254" s="66"/>
      <c r="WRV254" s="66"/>
      <c r="WRW254" s="66"/>
      <c r="WRX254" s="66"/>
      <c r="WRY254" s="66"/>
      <c r="WRZ254" s="66"/>
      <c r="WSA254" s="66"/>
      <c r="WSB254" s="66"/>
      <c r="WSC254" s="66"/>
      <c r="WSD254" s="66"/>
      <c r="WSE254" s="66"/>
      <c r="WSF254" s="66"/>
      <c r="WSG254" s="66"/>
      <c r="WSH254" s="66"/>
      <c r="WSI254" s="66"/>
      <c r="WSJ254" s="66"/>
      <c r="WSK254" s="66"/>
      <c r="WSL254" s="66"/>
      <c r="WSM254" s="66"/>
      <c r="WSN254" s="66"/>
      <c r="WSO254" s="66"/>
      <c r="WSP254" s="66"/>
      <c r="WSQ254" s="66"/>
      <c r="WSR254" s="66"/>
      <c r="WSS254" s="66"/>
      <c r="WST254" s="66"/>
      <c r="WSU254" s="66"/>
      <c r="WSV254" s="66"/>
      <c r="WSW254" s="66"/>
      <c r="WSX254" s="66"/>
      <c r="WSY254" s="66"/>
      <c r="WSZ254" s="66"/>
      <c r="WTA254" s="66"/>
      <c r="WTB254" s="66"/>
      <c r="WTC254" s="66"/>
      <c r="WTD254" s="66"/>
      <c r="WTE254" s="66"/>
      <c r="WTF254" s="66"/>
      <c r="WTG254" s="66"/>
      <c r="WTH254" s="66"/>
      <c r="WTI254" s="66"/>
      <c r="WTJ254" s="66"/>
      <c r="WTK254" s="66"/>
      <c r="WTL254" s="66"/>
      <c r="WTM254" s="66"/>
      <c r="WTN254" s="66"/>
      <c r="WTO254" s="66"/>
      <c r="WTP254" s="66"/>
      <c r="WTQ254" s="66"/>
      <c r="WTR254" s="66"/>
      <c r="WTS254" s="66"/>
      <c r="WTT254" s="66"/>
      <c r="WTU254" s="66"/>
      <c r="WTV254" s="66"/>
      <c r="WTW254" s="66"/>
      <c r="WTX254" s="66"/>
      <c r="WTY254" s="66"/>
      <c r="WTZ254" s="66"/>
      <c r="WUA254" s="66"/>
      <c r="WUB254" s="66"/>
      <c r="WUC254" s="66"/>
      <c r="WUD254" s="66"/>
      <c r="WUE254" s="66"/>
      <c r="WUF254" s="66"/>
      <c r="WUG254" s="66"/>
      <c r="WUH254" s="66"/>
      <c r="WUI254" s="66"/>
      <c r="WUJ254" s="66"/>
      <c r="WUK254" s="66"/>
      <c r="WUL254" s="66"/>
      <c r="WUM254" s="66"/>
      <c r="WUN254" s="66"/>
      <c r="WUO254" s="66"/>
      <c r="WUP254" s="66"/>
      <c r="WUQ254" s="66"/>
      <c r="WUR254" s="66"/>
      <c r="WUS254" s="66"/>
      <c r="WUT254" s="66"/>
      <c r="WUU254" s="66"/>
      <c r="WUV254" s="66"/>
      <c r="WUW254" s="66"/>
      <c r="WUX254" s="66"/>
      <c r="WUY254" s="66"/>
      <c r="WUZ254" s="66"/>
      <c r="WVA254" s="66"/>
      <c r="WVB254" s="66"/>
      <c r="WVC254" s="66"/>
      <c r="WVD254" s="66"/>
      <c r="WVE254" s="66"/>
      <c r="WVF254" s="66"/>
      <c r="WVG254" s="66"/>
      <c r="WVH254" s="66"/>
      <c r="WVI254" s="66"/>
      <c r="WVJ254" s="66"/>
      <c r="WVK254" s="66"/>
      <c r="WVL254" s="66"/>
      <c r="WVM254" s="66"/>
      <c r="WVN254" s="66"/>
      <c r="WVO254" s="66"/>
      <c r="WVP254" s="66"/>
      <c r="WVQ254" s="66"/>
      <c r="WVR254" s="66"/>
      <c r="WVS254" s="66"/>
      <c r="WVT254" s="66"/>
      <c r="WVU254" s="66"/>
      <c r="WVV254" s="66"/>
      <c r="WVW254" s="66"/>
      <c r="WVX254" s="66"/>
      <c r="WVY254" s="66"/>
      <c r="WVZ254" s="66"/>
      <c r="WWA254" s="66"/>
      <c r="WWB254" s="66"/>
      <c r="WWC254" s="66"/>
      <c r="WWD254" s="66"/>
      <c r="WWE254" s="66"/>
      <c r="WWF254" s="66"/>
      <c r="WWG254" s="66"/>
      <c r="WWH254" s="66"/>
      <c r="WWI254" s="66"/>
      <c r="WWJ254" s="66"/>
      <c r="WWK254" s="66"/>
      <c r="WWL254" s="66"/>
      <c r="WWM254" s="66"/>
      <c r="WWN254" s="66"/>
      <c r="WWO254" s="66"/>
      <c r="WWP254" s="66"/>
      <c r="WWQ254" s="66"/>
      <c r="WWR254" s="66"/>
      <c r="WWS254" s="66"/>
      <c r="WWT254" s="66"/>
      <c r="WWU254" s="66"/>
      <c r="WWV254" s="66"/>
      <c r="WWW254" s="66"/>
      <c r="WWX254" s="66"/>
      <c r="WWY254" s="66"/>
      <c r="WWZ254" s="66"/>
      <c r="WXA254" s="66"/>
      <c r="WXB254" s="66"/>
      <c r="WXC254" s="66"/>
      <c r="WXD254" s="66"/>
      <c r="WXE254" s="66"/>
      <c r="WXF254" s="66"/>
      <c r="WXG254" s="66"/>
      <c r="WXH254" s="66"/>
      <c r="WXI254" s="66"/>
      <c r="WXJ254" s="66"/>
      <c r="WXK254" s="66"/>
      <c r="WXL254" s="66"/>
      <c r="WXM254" s="66"/>
      <c r="WXN254" s="66"/>
      <c r="WXO254" s="66"/>
      <c r="WXP254" s="66"/>
      <c r="WXQ254" s="66"/>
      <c r="WXR254" s="66"/>
      <c r="WXS254" s="66"/>
      <c r="WXT254" s="66"/>
      <c r="WXU254" s="66"/>
      <c r="WXV254" s="66"/>
      <c r="WXW254" s="66"/>
      <c r="WXX254" s="66"/>
      <c r="WXY254" s="66"/>
      <c r="WXZ254" s="66"/>
      <c r="WYA254" s="66"/>
      <c r="WYB254" s="66"/>
      <c r="WYC254" s="66"/>
      <c r="WYD254" s="66"/>
      <c r="WYE254" s="66"/>
      <c r="WYF254" s="66"/>
      <c r="WYG254" s="66"/>
      <c r="WYH254" s="66"/>
      <c r="WYI254" s="66"/>
      <c r="WYJ254" s="66"/>
      <c r="WYK254" s="66"/>
      <c r="WYL254" s="66"/>
      <c r="WYM254" s="66"/>
      <c r="WYN254" s="66"/>
      <c r="WYO254" s="66"/>
      <c r="WYP254" s="66"/>
      <c r="WYQ254" s="66"/>
      <c r="WYR254" s="66"/>
      <c r="WYS254" s="66"/>
      <c r="WYT254" s="66"/>
      <c r="WYU254" s="66"/>
      <c r="WYV254" s="66"/>
      <c r="WYW254" s="66"/>
      <c r="WYX254" s="66"/>
      <c r="WYY254" s="66"/>
      <c r="WYZ254" s="66"/>
      <c r="WZA254" s="66"/>
      <c r="WZB254" s="66"/>
      <c r="WZC254" s="66"/>
      <c r="WZD254" s="66"/>
      <c r="WZE254" s="66"/>
      <c r="WZF254" s="66"/>
      <c r="WZG254" s="66"/>
      <c r="WZH254" s="66"/>
      <c r="WZI254" s="66"/>
      <c r="WZJ254" s="66"/>
      <c r="WZK254" s="66"/>
      <c r="WZL254" s="66"/>
      <c r="WZM254" s="66"/>
      <c r="WZN254" s="66"/>
      <c r="WZO254" s="66"/>
      <c r="WZP254" s="66"/>
      <c r="WZQ254" s="66"/>
      <c r="WZR254" s="66"/>
      <c r="WZS254" s="66"/>
      <c r="WZT254" s="66"/>
      <c r="WZU254" s="66"/>
      <c r="WZV254" s="66"/>
      <c r="WZW254" s="66"/>
      <c r="WZX254" s="66"/>
      <c r="WZY254" s="66"/>
      <c r="WZZ254" s="66"/>
      <c r="XAA254" s="66"/>
      <c r="XAB254" s="66"/>
      <c r="XAC254" s="66"/>
      <c r="XAD254" s="66"/>
      <c r="XAE254" s="66"/>
      <c r="XAF254" s="66"/>
      <c r="XAG254" s="66"/>
      <c r="XAH254" s="66"/>
      <c r="XAI254" s="66"/>
      <c r="XAJ254" s="66"/>
      <c r="XAK254" s="66"/>
      <c r="XAL254" s="66"/>
      <c r="XAM254" s="66"/>
      <c r="XAN254" s="66"/>
      <c r="XAO254" s="66"/>
      <c r="XAP254" s="66"/>
      <c r="XAQ254" s="66"/>
      <c r="XAR254" s="66"/>
      <c r="XAS254" s="66"/>
      <c r="XAT254" s="66"/>
    </row>
    <row r="255" spans="1:16270" s="70" customFormat="1" ht="14">
      <c r="A255" s="66"/>
      <c r="B255" s="66"/>
      <c r="C255" s="66"/>
      <c r="D255" s="156"/>
      <c r="E255" s="156"/>
      <c r="F255" s="156"/>
      <c r="G255" s="156"/>
      <c r="H255" s="166"/>
      <c r="I255" s="156"/>
      <c r="J255" s="150"/>
      <c r="K255" s="150"/>
      <c r="L255" s="150"/>
      <c r="M255" s="150"/>
      <c r="N255" s="66"/>
      <c r="O255" s="66"/>
      <c r="P255" s="66"/>
      <c r="Q255" s="66"/>
      <c r="R255" s="66"/>
      <c r="S255" s="66"/>
      <c r="T255" s="66"/>
      <c r="U255" s="66"/>
      <c r="V255" s="66"/>
      <c r="W255" s="66"/>
      <c r="X255" s="66"/>
      <c r="Y255" s="66"/>
      <c r="Z255" s="66"/>
      <c r="AA255" s="66"/>
      <c r="AB255" s="66"/>
      <c r="AC255" s="66"/>
      <c r="AD255" s="66"/>
      <c r="AE255" s="66"/>
      <c r="AF255" s="66"/>
      <c r="AG255" s="66"/>
      <c r="AH255" s="66"/>
      <c r="AI255" s="66"/>
      <c r="AJ255" s="66"/>
      <c r="AK255" s="66"/>
      <c r="AL255" s="66"/>
      <c r="AM255" s="66"/>
      <c r="AN255" s="66"/>
      <c r="AO255" s="66"/>
      <c r="AP255" s="66"/>
      <c r="AQ255" s="66"/>
      <c r="AR255" s="66"/>
      <c r="AS255" s="66"/>
      <c r="AT255" s="66"/>
      <c r="AU255" s="66"/>
      <c r="AV255" s="66"/>
      <c r="AW255" s="66"/>
      <c r="AX255" s="66"/>
      <c r="AY255" s="66"/>
      <c r="AZ255" s="66"/>
      <c r="BA255" s="66"/>
      <c r="BB255" s="66"/>
      <c r="BC255" s="66"/>
      <c r="BD255" s="66"/>
      <c r="BE255" s="66"/>
      <c r="BF255" s="66"/>
      <c r="BG255" s="66"/>
      <c r="BH255" s="66"/>
      <c r="BI255" s="66"/>
      <c r="BJ255" s="66"/>
      <c r="BK255" s="66"/>
      <c r="BL255" s="66"/>
      <c r="BM255" s="66"/>
      <c r="BN255" s="66"/>
      <c r="BO255" s="66"/>
      <c r="BP255" s="66"/>
      <c r="BQ255" s="66"/>
    </row>
    <row r="256" spans="1:16270" s="70" customFormat="1" ht="14">
      <c r="A256" s="62" t="s">
        <v>73</v>
      </c>
      <c r="C256" s="66"/>
      <c r="D256" s="136"/>
      <c r="E256" s="136"/>
      <c r="F256" s="156"/>
      <c r="G256" s="156"/>
      <c r="H256" s="166"/>
      <c r="I256" s="156"/>
      <c r="J256" s="150"/>
      <c r="K256" s="150"/>
      <c r="L256" s="150"/>
      <c r="M256" s="150"/>
      <c r="N256" s="66"/>
      <c r="O256" s="66"/>
      <c r="P256" s="66"/>
      <c r="Q256" s="66"/>
      <c r="R256" s="66"/>
      <c r="S256" s="66"/>
      <c r="T256" s="66"/>
      <c r="U256" s="66"/>
      <c r="V256" s="66"/>
      <c r="W256" s="66"/>
      <c r="X256" s="66"/>
      <c r="Y256" s="66"/>
      <c r="Z256" s="66"/>
      <c r="AA256" s="66"/>
      <c r="AB256" s="66"/>
      <c r="AC256" s="66"/>
      <c r="AD256" s="66"/>
      <c r="AE256" s="66"/>
      <c r="AF256" s="66"/>
      <c r="AG256" s="66"/>
      <c r="AH256" s="66"/>
      <c r="AI256" s="66"/>
      <c r="AJ256" s="66"/>
      <c r="AK256" s="66"/>
      <c r="AL256" s="66"/>
      <c r="AM256" s="66"/>
      <c r="AN256" s="66"/>
      <c r="AO256" s="66"/>
      <c r="AP256" s="66"/>
      <c r="AQ256" s="66"/>
      <c r="AR256" s="66"/>
      <c r="AS256" s="66"/>
      <c r="AT256" s="66"/>
      <c r="AU256" s="66"/>
      <c r="AV256" s="66"/>
      <c r="AW256" s="66"/>
      <c r="AX256" s="66"/>
      <c r="AY256" s="66"/>
      <c r="AZ256" s="66"/>
      <c r="BA256" s="66"/>
      <c r="BB256" s="66"/>
      <c r="BC256" s="66"/>
      <c r="BD256" s="66"/>
      <c r="BE256" s="66"/>
      <c r="BF256" s="66"/>
      <c r="BG256" s="66"/>
      <c r="BH256" s="66"/>
      <c r="BI256" s="66"/>
      <c r="BJ256" s="66"/>
      <c r="BK256" s="66"/>
      <c r="BL256" s="66"/>
      <c r="BM256" s="66"/>
      <c r="BN256" s="66"/>
      <c r="BO256" s="66"/>
      <c r="BP256" s="66"/>
      <c r="BQ256" s="66"/>
    </row>
    <row r="257" spans="1:69" s="70" customFormat="1" ht="14">
      <c r="A257" s="689" t="s">
        <v>48</v>
      </c>
      <c r="B257" s="614"/>
      <c r="C257" s="690">
        <f>+(1+IRR(D252:BQ252,0.01))^12-1</f>
        <v>1.0157447454811592</v>
      </c>
      <c r="D257" s="263">
        <v>0.31946598723138186</v>
      </c>
      <c r="E257" s="278"/>
      <c r="F257" s="163"/>
      <c r="G257" s="158"/>
      <c r="H257" s="163"/>
      <c r="I257" s="167"/>
      <c r="J257" s="150"/>
      <c r="K257" s="150"/>
      <c r="L257" s="150"/>
      <c r="M257" s="150"/>
      <c r="N257" s="66"/>
      <c r="O257" s="66"/>
      <c r="P257" s="66"/>
      <c r="Q257" s="66"/>
      <c r="R257" s="66"/>
      <c r="S257" s="66"/>
      <c r="T257" s="66"/>
      <c r="U257" s="66"/>
      <c r="V257" s="66"/>
      <c r="W257" s="66"/>
      <c r="X257" s="66"/>
      <c r="Y257" s="66"/>
      <c r="Z257" s="66"/>
      <c r="AA257" s="66"/>
      <c r="AB257" s="66"/>
      <c r="AC257" s="66"/>
      <c r="AD257" s="66"/>
      <c r="AE257" s="66"/>
      <c r="AF257" s="66"/>
      <c r="AG257" s="66"/>
      <c r="AH257" s="66"/>
      <c r="AI257" s="66"/>
      <c r="AJ257" s="66"/>
      <c r="AK257" s="66"/>
      <c r="AL257" s="66"/>
      <c r="AM257" s="66"/>
      <c r="AN257" s="66"/>
      <c r="AO257" s="66"/>
      <c r="AP257" s="66"/>
      <c r="AQ257" s="66"/>
      <c r="AR257" s="66"/>
      <c r="AS257" s="66"/>
      <c r="AT257" s="66"/>
      <c r="AU257" s="66"/>
      <c r="AV257" s="66"/>
      <c r="AW257" s="66"/>
      <c r="AX257" s="66"/>
      <c r="AY257" s="66"/>
      <c r="AZ257" s="66"/>
      <c r="BA257" s="66"/>
      <c r="BB257" s="66"/>
      <c r="BC257" s="66"/>
      <c r="BD257" s="66"/>
      <c r="BE257" s="66"/>
      <c r="BF257" s="66"/>
      <c r="BG257" s="66"/>
      <c r="BH257" s="66"/>
      <c r="BI257" s="66"/>
      <c r="BJ257" s="66"/>
      <c r="BK257" s="66"/>
      <c r="BL257" s="66"/>
      <c r="BM257" s="66"/>
      <c r="BN257" s="66"/>
      <c r="BO257" s="66"/>
      <c r="BP257" s="66"/>
      <c r="BQ257" s="66"/>
    </row>
    <row r="258" spans="1:69" s="70" customFormat="1" ht="14">
      <c r="A258" s="691" t="s">
        <v>74</v>
      </c>
      <c r="B258" s="691" t="s">
        <v>3</v>
      </c>
      <c r="C258" s="692">
        <f>+MIN(D253:BQ253)</f>
        <v>-2456665.9678577818</v>
      </c>
      <c r="D258" s="249">
        <v>-8590713.0214295089</v>
      </c>
      <c r="E258" s="279"/>
      <c r="F258" s="157"/>
      <c r="G258" s="157"/>
      <c r="H258" s="157"/>
      <c r="I258" s="159"/>
      <c r="J258" s="150"/>
      <c r="K258" s="150"/>
      <c r="L258" s="150"/>
      <c r="M258" s="150"/>
      <c r="N258" s="66"/>
      <c r="O258" s="66"/>
      <c r="P258" s="66"/>
      <c r="Q258" s="66"/>
      <c r="R258" s="66"/>
      <c r="S258" s="66"/>
      <c r="T258" s="66"/>
      <c r="U258" s="66"/>
      <c r="V258" s="66"/>
      <c r="W258" s="66"/>
      <c r="X258" s="66"/>
      <c r="Y258" s="66"/>
      <c r="Z258" s="66"/>
      <c r="AA258" s="66"/>
      <c r="AB258" s="66"/>
      <c r="AC258" s="66"/>
      <c r="AD258" s="66"/>
      <c r="AE258" s="66"/>
      <c r="AF258" s="66"/>
      <c r="AG258" s="66"/>
      <c r="AH258" s="66"/>
      <c r="AI258" s="66"/>
      <c r="AJ258" s="66"/>
      <c r="AK258" s="66"/>
      <c r="AL258" s="66"/>
      <c r="AM258" s="66"/>
      <c r="AN258" s="66"/>
      <c r="AO258" s="66"/>
      <c r="AP258" s="66"/>
      <c r="AQ258" s="66"/>
      <c r="AR258" s="66"/>
      <c r="AS258" s="66"/>
      <c r="AT258" s="66"/>
      <c r="AU258" s="66"/>
      <c r="AV258" s="66"/>
      <c r="AW258" s="66"/>
      <c r="AX258" s="66"/>
      <c r="AY258" s="66"/>
      <c r="AZ258" s="66"/>
      <c r="BA258" s="66"/>
      <c r="BB258" s="66"/>
      <c r="BC258" s="66"/>
      <c r="BD258" s="66"/>
      <c r="BE258" s="66"/>
      <c r="BF258" s="66"/>
      <c r="BG258" s="66"/>
      <c r="BH258" s="66"/>
      <c r="BI258" s="66"/>
      <c r="BJ258" s="66"/>
      <c r="BK258" s="66"/>
      <c r="BL258" s="66"/>
      <c r="BM258" s="66"/>
      <c r="BN258" s="66"/>
      <c r="BO258" s="66"/>
      <c r="BP258" s="66"/>
      <c r="BQ258" s="66"/>
    </row>
    <row r="259" spans="1:69" s="70" customFormat="1" ht="14">
      <c r="A259" s="691" t="s">
        <v>103</v>
      </c>
      <c r="B259" s="691" t="s">
        <v>3</v>
      </c>
      <c r="C259" s="692">
        <f>+C258-D252</f>
        <v>-512671.56785778189</v>
      </c>
      <c r="D259" s="249">
        <v>-751096.58701929171</v>
      </c>
      <c r="E259" s="279"/>
      <c r="F259" s="157"/>
      <c r="G259" s="157"/>
      <c r="H259" s="157"/>
      <c r="I259" s="159"/>
      <c r="J259" s="150"/>
      <c r="K259" s="150"/>
      <c r="L259" s="150"/>
      <c r="M259" s="150"/>
      <c r="N259" s="66"/>
      <c r="O259" s="66"/>
      <c r="P259" s="66"/>
      <c r="Q259" s="66"/>
      <c r="R259" s="66"/>
      <c r="S259" s="66"/>
      <c r="T259" s="66"/>
      <c r="U259" s="66"/>
      <c r="V259" s="66"/>
      <c r="W259" s="66"/>
      <c r="X259" s="66"/>
      <c r="Y259" s="66"/>
      <c r="Z259" s="66"/>
      <c r="AA259" s="66"/>
      <c r="AB259" s="66"/>
      <c r="AC259" s="66"/>
      <c r="AD259" s="66"/>
      <c r="AE259" s="66"/>
      <c r="AF259" s="66"/>
      <c r="AG259" s="66"/>
      <c r="AH259" s="66"/>
      <c r="AI259" s="66"/>
      <c r="AJ259" s="66"/>
      <c r="AK259" s="66"/>
      <c r="AL259" s="66"/>
      <c r="AM259" s="66"/>
      <c r="AN259" s="66"/>
      <c r="AO259" s="66"/>
      <c r="AP259" s="66"/>
      <c r="AQ259" s="66"/>
      <c r="AR259" s="66"/>
      <c r="AS259" s="66"/>
      <c r="AT259" s="66"/>
      <c r="AU259" s="66"/>
      <c r="AV259" s="66"/>
      <c r="AW259" s="66"/>
      <c r="AX259" s="66"/>
      <c r="AY259" s="66"/>
      <c r="AZ259" s="66"/>
      <c r="BA259" s="66"/>
      <c r="BB259" s="66"/>
      <c r="BC259" s="66"/>
      <c r="BD259" s="66"/>
      <c r="BE259" s="66"/>
      <c r="BF259" s="66"/>
      <c r="BG259" s="66"/>
      <c r="BH259" s="66"/>
      <c r="BI259" s="66"/>
      <c r="BJ259" s="66"/>
      <c r="BK259" s="66"/>
      <c r="BL259" s="66"/>
      <c r="BM259" s="66"/>
      <c r="BN259" s="66"/>
      <c r="BO259" s="66"/>
      <c r="BP259" s="66"/>
      <c r="BQ259" s="66"/>
    </row>
    <row r="260" spans="1:69" s="70" customFormat="1" ht="14">
      <c r="A260" s="693" t="s">
        <v>75</v>
      </c>
      <c r="B260" s="618"/>
      <c r="C260" s="694"/>
      <c r="D260" s="249"/>
      <c r="E260" s="279"/>
      <c r="F260" s="157"/>
      <c r="G260" s="157"/>
      <c r="H260" s="157"/>
      <c r="I260" s="159"/>
      <c r="J260" s="150"/>
      <c r="K260" s="150"/>
      <c r="L260" s="150"/>
      <c r="M260" s="150"/>
      <c r="N260" s="66"/>
      <c r="O260" s="66"/>
      <c r="P260" s="66"/>
      <c r="Q260" s="66"/>
      <c r="R260" s="66"/>
      <c r="S260" s="66"/>
      <c r="T260" s="66"/>
      <c r="U260" s="66"/>
      <c r="V260" s="66"/>
      <c r="W260" s="66"/>
      <c r="X260" s="66"/>
      <c r="Y260" s="66"/>
      <c r="Z260" s="66"/>
      <c r="AA260" s="66"/>
      <c r="AB260" s="66"/>
      <c r="AC260" s="66"/>
      <c r="AD260" s="66"/>
      <c r="AE260" s="66"/>
      <c r="AF260" s="66"/>
      <c r="AG260" s="66"/>
      <c r="AH260" s="66"/>
      <c r="AI260" s="66"/>
      <c r="AJ260" s="66"/>
      <c r="AK260" s="66"/>
      <c r="AL260" s="66"/>
      <c r="AM260" s="66"/>
      <c r="AN260" s="66"/>
      <c r="AO260" s="66"/>
      <c r="AP260" s="66"/>
      <c r="AQ260" s="66"/>
      <c r="AR260" s="66"/>
      <c r="AS260" s="66"/>
      <c r="AT260" s="66"/>
      <c r="AU260" s="66"/>
      <c r="AV260" s="66"/>
      <c r="AW260" s="66"/>
      <c r="AX260" s="66"/>
      <c r="AY260" s="66"/>
      <c r="AZ260" s="66"/>
      <c r="BA260" s="66"/>
      <c r="BB260" s="66"/>
      <c r="BC260" s="66"/>
      <c r="BD260" s="66"/>
      <c r="BE260" s="66"/>
      <c r="BF260" s="66"/>
      <c r="BG260" s="66"/>
      <c r="BH260" s="66"/>
      <c r="BI260" s="66"/>
      <c r="BJ260" s="66"/>
      <c r="BK260" s="66"/>
      <c r="BL260" s="66"/>
      <c r="BM260" s="66"/>
      <c r="BN260" s="66"/>
      <c r="BO260" s="66"/>
      <c r="BP260" s="66"/>
      <c r="BQ260" s="66"/>
    </row>
    <row r="261" spans="1:69" s="70" customFormat="1" ht="14">
      <c r="A261" s="130"/>
      <c r="C261" s="130"/>
      <c r="D261" s="249"/>
      <c r="E261" s="279"/>
      <c r="F261" s="157"/>
      <c r="G261" s="157"/>
      <c r="H261" s="157"/>
      <c r="I261" s="159"/>
      <c r="J261" s="150"/>
      <c r="K261" s="150"/>
      <c r="L261" s="150"/>
      <c r="M261" s="150"/>
      <c r="N261" s="66"/>
      <c r="O261" s="66"/>
      <c r="P261" s="66"/>
      <c r="Q261" s="66"/>
      <c r="R261" s="66"/>
      <c r="S261" s="66"/>
      <c r="T261" s="66"/>
      <c r="U261" s="66"/>
      <c r="V261" s="66"/>
      <c r="W261" s="66"/>
      <c r="X261" s="66"/>
      <c r="Y261" s="66"/>
      <c r="Z261" s="66"/>
      <c r="AA261" s="66"/>
      <c r="AB261" s="66"/>
      <c r="AC261" s="66"/>
      <c r="AD261" s="66"/>
      <c r="AE261" s="66"/>
      <c r="AF261" s="66"/>
      <c r="AG261" s="66"/>
      <c r="AH261" s="66"/>
      <c r="AI261" s="66"/>
      <c r="AJ261" s="66"/>
      <c r="AK261" s="66"/>
      <c r="AL261" s="66"/>
      <c r="AM261" s="66"/>
      <c r="AN261" s="66"/>
      <c r="AO261" s="66"/>
      <c r="AP261" s="66"/>
      <c r="AQ261" s="66"/>
      <c r="AR261" s="66"/>
      <c r="AS261" s="66"/>
      <c r="AT261" s="66"/>
      <c r="AU261" s="66"/>
      <c r="AV261" s="66"/>
      <c r="AW261" s="66"/>
      <c r="AX261" s="66"/>
      <c r="AY261" s="66"/>
      <c r="AZ261" s="66"/>
      <c r="BA261" s="66"/>
      <c r="BB261" s="66"/>
      <c r="BC261" s="66"/>
      <c r="BD261" s="66"/>
      <c r="BE261" s="66"/>
      <c r="BF261" s="66"/>
      <c r="BG261" s="66"/>
      <c r="BH261" s="66"/>
      <c r="BI261" s="66"/>
      <c r="BJ261" s="66"/>
      <c r="BK261" s="66"/>
      <c r="BL261" s="66"/>
      <c r="BM261" s="66"/>
      <c r="BN261" s="66"/>
      <c r="BO261" s="66"/>
      <c r="BP261" s="66"/>
      <c r="BQ261" s="66"/>
    </row>
    <row r="262" spans="1:69" s="70" customFormat="1" ht="14">
      <c r="A262" s="689" t="s">
        <v>98</v>
      </c>
      <c r="B262" s="689" t="s">
        <v>3</v>
      </c>
      <c r="C262" s="695">
        <f>+C252</f>
        <v>9696905.8149931524</v>
      </c>
      <c r="D262" s="249">
        <v>9765342.6724103615</v>
      </c>
      <c r="E262" s="279"/>
      <c r="F262" s="157"/>
      <c r="G262" s="157"/>
      <c r="H262" s="157"/>
      <c r="I262" s="159"/>
      <c r="J262" s="150"/>
      <c r="K262" s="150"/>
      <c r="L262" s="150"/>
      <c r="M262" s="150"/>
      <c r="N262" s="66"/>
      <c r="O262" s="66"/>
      <c r="P262" s="66"/>
      <c r="Q262" s="66"/>
      <c r="R262" s="66"/>
      <c r="S262" s="66"/>
      <c r="T262" s="66"/>
      <c r="U262" s="66"/>
      <c r="V262" s="66"/>
      <c r="W262" s="66"/>
      <c r="X262" s="66"/>
      <c r="Y262" s="66"/>
      <c r="Z262" s="66"/>
      <c r="AA262" s="66"/>
      <c r="AB262" s="66"/>
      <c r="AC262" s="66"/>
      <c r="AD262" s="66"/>
      <c r="AE262" s="66"/>
      <c r="AF262" s="66"/>
      <c r="AG262" s="66"/>
      <c r="AH262" s="66"/>
      <c r="AI262" s="66"/>
      <c r="AJ262" s="66"/>
      <c r="AK262" s="66"/>
      <c r="AL262" s="66"/>
      <c r="AM262" s="66"/>
      <c r="AN262" s="66"/>
      <c r="AO262" s="66"/>
      <c r="AP262" s="66"/>
      <c r="AQ262" s="66"/>
      <c r="AR262" s="66"/>
      <c r="AS262" s="66"/>
      <c r="AT262" s="66"/>
      <c r="AU262" s="66"/>
      <c r="AV262" s="66"/>
      <c r="AW262" s="66"/>
      <c r="AX262" s="66"/>
      <c r="AY262" s="66"/>
      <c r="AZ262" s="66"/>
      <c r="BA262" s="66"/>
      <c r="BB262" s="66"/>
      <c r="BC262" s="66"/>
      <c r="BD262" s="66"/>
      <c r="BE262" s="66"/>
      <c r="BF262" s="66"/>
      <c r="BG262" s="66"/>
      <c r="BH262" s="66"/>
      <c r="BI262" s="66"/>
      <c r="BJ262" s="66"/>
      <c r="BK262" s="66"/>
      <c r="BL262" s="66"/>
      <c r="BM262" s="66"/>
      <c r="BN262" s="66"/>
      <c r="BO262" s="66"/>
      <c r="BP262" s="66"/>
      <c r="BQ262" s="66"/>
    </row>
    <row r="263" spans="1:69" s="70" customFormat="1" ht="14">
      <c r="A263" s="691" t="s">
        <v>76</v>
      </c>
      <c r="B263" s="616"/>
      <c r="C263" s="696">
        <f>+C262/C217</f>
        <v>0.30958810403133991</v>
      </c>
      <c r="D263" s="178">
        <v>0.21002522043860955</v>
      </c>
      <c r="E263" s="263"/>
      <c r="F263" s="158"/>
      <c r="G263" s="158"/>
      <c r="H263" s="158"/>
      <c r="I263" s="160"/>
      <c r="J263" s="150"/>
      <c r="K263" s="150"/>
      <c r="L263" s="150"/>
      <c r="M263" s="150"/>
      <c r="N263" s="66"/>
      <c r="O263" s="66"/>
      <c r="P263" s="66"/>
      <c r="Q263" s="66"/>
      <c r="R263" s="66"/>
      <c r="S263" s="66"/>
      <c r="T263" s="66"/>
      <c r="U263" s="66"/>
      <c r="V263" s="66"/>
      <c r="W263" s="66"/>
      <c r="X263" s="66"/>
      <c r="Y263" s="66"/>
      <c r="Z263" s="66"/>
      <c r="AA263" s="66"/>
      <c r="AB263" s="66"/>
      <c r="AC263" s="66"/>
      <c r="AD263" s="66"/>
      <c r="AE263" s="66"/>
      <c r="AF263" s="66"/>
      <c r="AG263" s="66"/>
      <c r="AH263" s="66"/>
      <c r="AI263" s="66"/>
      <c r="AJ263" s="66"/>
      <c r="AK263" s="66"/>
      <c r="AL263" s="66"/>
      <c r="AM263" s="66"/>
      <c r="AN263" s="66"/>
      <c r="AO263" s="66"/>
      <c r="AP263" s="66"/>
      <c r="AQ263" s="66"/>
      <c r="AR263" s="66"/>
      <c r="AS263" s="66"/>
      <c r="AT263" s="66"/>
      <c r="AU263" s="66"/>
      <c r="AV263" s="66"/>
      <c r="AW263" s="66"/>
      <c r="AX263" s="66"/>
      <c r="AY263" s="66"/>
      <c r="AZ263" s="66"/>
      <c r="BA263" s="66"/>
      <c r="BB263" s="66"/>
      <c r="BC263" s="66"/>
      <c r="BD263" s="66"/>
      <c r="BE263" s="66"/>
      <c r="BF263" s="66"/>
      <c r="BG263" s="66"/>
      <c r="BH263" s="66"/>
      <c r="BI263" s="66"/>
      <c r="BJ263" s="66"/>
      <c r="BK263" s="66"/>
      <c r="BL263" s="66"/>
      <c r="BM263" s="66"/>
      <c r="BN263" s="66"/>
      <c r="BO263" s="66"/>
      <c r="BP263" s="66"/>
      <c r="BQ263" s="66"/>
    </row>
    <row r="264" spans="1:69" s="70" customFormat="1" ht="14">
      <c r="A264" s="691" t="s">
        <v>165</v>
      </c>
      <c r="B264" s="616"/>
      <c r="C264" s="697">
        <f>IF(C258=0,"N/C",-C262/C258)</f>
        <v>3.9471812374430684</v>
      </c>
      <c r="D264" s="178">
        <v>1.1367324979953053</v>
      </c>
      <c r="E264" s="278"/>
      <c r="F264" s="163"/>
      <c r="G264" s="158"/>
      <c r="H264" s="163"/>
      <c r="I264" s="167"/>
      <c r="J264" s="150"/>
      <c r="K264" s="150"/>
      <c r="L264" s="150"/>
      <c r="M264" s="150"/>
      <c r="N264" s="66"/>
      <c r="O264" s="66"/>
      <c r="P264" s="66"/>
      <c r="Q264" s="66"/>
      <c r="R264" s="66"/>
      <c r="S264" s="66"/>
      <c r="T264" s="66"/>
      <c r="U264" s="66"/>
      <c r="V264" s="66"/>
      <c r="W264" s="66"/>
      <c r="X264" s="66"/>
      <c r="Y264" s="66"/>
      <c r="Z264" s="66"/>
      <c r="AA264" s="66"/>
      <c r="AB264" s="66"/>
      <c r="AC264" s="66"/>
      <c r="AD264" s="66"/>
      <c r="AE264" s="66"/>
      <c r="AF264" s="66"/>
      <c r="AG264" s="66"/>
      <c r="AH264" s="66"/>
      <c r="AI264" s="66"/>
      <c r="AJ264" s="66"/>
      <c r="AK264" s="66"/>
      <c r="AL264" s="66"/>
      <c r="AM264" s="66"/>
      <c r="AN264" s="66"/>
      <c r="AO264" s="66"/>
      <c r="AP264" s="66"/>
      <c r="AQ264" s="66"/>
      <c r="AR264" s="66"/>
      <c r="AS264" s="66"/>
      <c r="AT264" s="66"/>
      <c r="AU264" s="66"/>
      <c r="AV264" s="66"/>
      <c r="AW264" s="66"/>
      <c r="AX264" s="66"/>
      <c r="AY264" s="66"/>
      <c r="AZ264" s="66"/>
      <c r="BA264" s="66"/>
      <c r="BB264" s="66"/>
      <c r="BC264" s="66"/>
      <c r="BD264" s="66"/>
      <c r="BE264" s="66"/>
      <c r="BF264" s="66"/>
      <c r="BG264" s="66"/>
      <c r="BH264" s="66"/>
      <c r="BI264" s="66"/>
      <c r="BJ264" s="66"/>
      <c r="BK264" s="66"/>
      <c r="BL264" s="66"/>
      <c r="BM264" s="66"/>
      <c r="BN264" s="66"/>
      <c r="BO264" s="66"/>
      <c r="BP264" s="66"/>
      <c r="BQ264" s="66"/>
    </row>
    <row r="265" spans="1:69" s="70" customFormat="1" ht="14">
      <c r="A265" s="693" t="s">
        <v>77</v>
      </c>
      <c r="B265" s="618"/>
      <c r="C265" s="698">
        <v>37</v>
      </c>
      <c r="D265" s="249">
        <v>37</v>
      </c>
      <c r="E265" s="249"/>
      <c r="F265" s="159"/>
      <c r="G265" s="159"/>
      <c r="H265" s="157"/>
      <c r="I265" s="159"/>
      <c r="J265" s="150"/>
      <c r="K265" s="150"/>
      <c r="L265" s="150"/>
      <c r="M265" s="150"/>
      <c r="N265" s="66"/>
      <c r="O265" s="66"/>
      <c r="P265" s="66"/>
      <c r="Q265" s="66"/>
      <c r="R265" s="66"/>
      <c r="S265" s="66"/>
      <c r="T265" s="66"/>
      <c r="U265" s="66"/>
      <c r="V265" s="66"/>
      <c r="W265" s="66"/>
      <c r="X265" s="66"/>
      <c r="Y265" s="66"/>
      <c r="Z265" s="66"/>
      <c r="AA265" s="66"/>
      <c r="AB265" s="66"/>
      <c r="AC265" s="66"/>
      <c r="AD265" s="66"/>
      <c r="AE265" s="66"/>
      <c r="AF265" s="66"/>
      <c r="AG265" s="66"/>
      <c r="AH265" s="66"/>
      <c r="AI265" s="66"/>
      <c r="AJ265" s="66"/>
      <c r="AK265" s="66"/>
      <c r="AL265" s="66"/>
      <c r="AM265" s="66"/>
      <c r="AN265" s="66"/>
      <c r="AO265" s="66"/>
      <c r="AP265" s="66"/>
      <c r="AQ265" s="66"/>
      <c r="AR265" s="66"/>
      <c r="AS265" s="66"/>
      <c r="AT265" s="66"/>
      <c r="AU265" s="66"/>
      <c r="AV265" s="66"/>
      <c r="AW265" s="66"/>
      <c r="AX265" s="66"/>
      <c r="AY265" s="66"/>
      <c r="AZ265" s="66"/>
      <c r="BA265" s="66"/>
      <c r="BB265" s="66"/>
      <c r="BC265" s="66"/>
      <c r="BD265" s="66"/>
      <c r="BE265" s="66"/>
      <c r="BF265" s="66"/>
      <c r="BG265" s="66"/>
      <c r="BH265" s="66"/>
      <c r="BI265" s="66"/>
      <c r="BJ265" s="66"/>
      <c r="BK265" s="66"/>
      <c r="BL265" s="66"/>
      <c r="BM265" s="66"/>
      <c r="BN265" s="66"/>
      <c r="BO265" s="66"/>
      <c r="BP265" s="66"/>
      <c r="BQ265" s="66"/>
    </row>
    <row r="266" spans="1:69" s="70" customFormat="1" ht="14">
      <c r="A266" s="66"/>
      <c r="B266" s="66"/>
      <c r="C266" s="68"/>
      <c r="D266" s="159"/>
      <c r="E266" s="159"/>
      <c r="F266" s="159"/>
      <c r="G266" s="159"/>
      <c r="H266" s="157"/>
      <c r="I266" s="159"/>
      <c r="J266" s="150"/>
      <c r="K266" s="150"/>
      <c r="L266" s="150"/>
      <c r="M266" s="150"/>
      <c r="N266" s="66"/>
      <c r="O266" s="66"/>
      <c r="P266" s="66"/>
      <c r="Q266" s="66"/>
      <c r="R266" s="66"/>
      <c r="S266" s="66"/>
      <c r="T266" s="66"/>
      <c r="U266" s="66"/>
      <c r="V266" s="66"/>
      <c r="W266" s="66"/>
      <c r="X266" s="66"/>
      <c r="Y266" s="66"/>
      <c r="Z266" s="66"/>
      <c r="AA266" s="66"/>
      <c r="AB266" s="66"/>
      <c r="AC266" s="66"/>
      <c r="AD266" s="66"/>
      <c r="AE266" s="66"/>
      <c r="AF266" s="66"/>
      <c r="AG266" s="66"/>
      <c r="AH266" s="66"/>
      <c r="AI266" s="66"/>
      <c r="AJ266" s="66"/>
      <c r="AK266" s="66"/>
      <c r="AL266" s="66"/>
      <c r="AM266" s="66"/>
      <c r="AN266" s="66"/>
      <c r="AO266" s="66"/>
      <c r="AP266" s="66"/>
      <c r="AQ266" s="66"/>
      <c r="AR266" s="66"/>
      <c r="AS266" s="66"/>
      <c r="AT266" s="66"/>
      <c r="AU266" s="66"/>
      <c r="AV266" s="66"/>
      <c r="AW266" s="66"/>
      <c r="AX266" s="66"/>
      <c r="AY266" s="66"/>
      <c r="AZ266" s="66"/>
      <c r="BA266" s="66"/>
      <c r="BB266" s="66"/>
      <c r="BC266" s="66"/>
      <c r="BD266" s="66"/>
      <c r="BE266" s="66"/>
      <c r="BF266" s="66"/>
      <c r="BG266" s="66"/>
      <c r="BH266" s="66"/>
      <c r="BI266" s="66"/>
      <c r="BJ266" s="66"/>
      <c r="BK266" s="66"/>
      <c r="BL266" s="66"/>
      <c r="BM266" s="66"/>
      <c r="BN266" s="66"/>
      <c r="BO266" s="66"/>
      <c r="BP266" s="66"/>
      <c r="BQ266" s="66"/>
    </row>
    <row r="267" spans="1:69" s="70" customFormat="1" ht="14">
      <c r="A267" s="66"/>
      <c r="B267" s="66"/>
      <c r="C267" s="66"/>
      <c r="D267" s="157"/>
      <c r="E267" s="159"/>
      <c r="F267" s="159"/>
      <c r="G267" s="159"/>
      <c r="H267" s="157"/>
      <c r="I267" s="159"/>
      <c r="J267" s="150"/>
      <c r="K267" s="150"/>
      <c r="L267" s="150"/>
      <c r="M267" s="150"/>
      <c r="N267" s="66"/>
      <c r="O267" s="66"/>
      <c r="P267" s="66"/>
      <c r="Q267" s="66"/>
      <c r="R267" s="66"/>
      <c r="S267" s="66"/>
      <c r="T267" s="66"/>
      <c r="U267" s="66"/>
      <c r="V267" s="66"/>
      <c r="W267" s="66"/>
      <c r="X267" s="66"/>
      <c r="Y267" s="66"/>
      <c r="Z267" s="66"/>
      <c r="AA267" s="66"/>
      <c r="AB267" s="66"/>
      <c r="AC267" s="66"/>
      <c r="AD267" s="66"/>
      <c r="AE267" s="66"/>
      <c r="AF267" s="66"/>
      <c r="AG267" s="66"/>
      <c r="AH267" s="66"/>
      <c r="AI267" s="66"/>
      <c r="AJ267" s="66"/>
      <c r="AK267" s="66"/>
      <c r="AL267" s="66"/>
      <c r="AM267" s="66"/>
      <c r="AN267" s="66"/>
      <c r="AO267" s="66"/>
      <c r="AP267" s="66"/>
      <c r="AQ267" s="66"/>
      <c r="AR267" s="66"/>
      <c r="AS267" s="66"/>
      <c r="AT267" s="66"/>
      <c r="AU267" s="66"/>
      <c r="AV267" s="66"/>
      <c r="AW267" s="66"/>
      <c r="AX267" s="66"/>
      <c r="AY267" s="66"/>
      <c r="AZ267" s="66"/>
      <c r="BA267" s="66"/>
      <c r="BB267" s="66"/>
      <c r="BC267" s="66"/>
      <c r="BD267" s="66"/>
      <c r="BE267" s="66"/>
      <c r="BF267" s="66"/>
      <c r="BG267" s="66"/>
      <c r="BH267" s="66"/>
      <c r="BI267" s="66"/>
      <c r="BJ267" s="66"/>
      <c r="BK267" s="66"/>
      <c r="BL267" s="66"/>
      <c r="BM267" s="66"/>
      <c r="BN267" s="66"/>
      <c r="BO267" s="66"/>
      <c r="BP267" s="66"/>
      <c r="BQ267" s="66"/>
    </row>
    <row r="268" spans="1:69" s="70" customFormat="1" ht="14">
      <c r="A268" s="62" t="s">
        <v>78</v>
      </c>
      <c r="B268" s="63"/>
      <c r="C268" s="63"/>
      <c r="D268" s="157"/>
      <c r="E268" s="159"/>
      <c r="F268" s="159"/>
      <c r="G268" s="159"/>
      <c r="H268" s="157"/>
      <c r="I268" s="159"/>
      <c r="J268" s="150"/>
      <c r="K268" s="150"/>
      <c r="L268" s="150"/>
      <c r="M268" s="150"/>
      <c r="N268" s="66"/>
      <c r="O268" s="66"/>
      <c r="P268" s="66"/>
      <c r="Q268" s="66"/>
      <c r="R268" s="66"/>
      <c r="S268" s="66"/>
      <c r="T268" s="66"/>
      <c r="U268" s="66"/>
      <c r="V268" s="66"/>
      <c r="W268" s="66"/>
      <c r="X268" s="66"/>
      <c r="Y268" s="66"/>
      <c r="Z268" s="66"/>
      <c r="AA268" s="66"/>
      <c r="AB268" s="66"/>
      <c r="AC268" s="66"/>
      <c r="AD268" s="66"/>
      <c r="AE268" s="66"/>
      <c r="AF268" s="66"/>
      <c r="AG268" s="66"/>
      <c r="AH268" s="66"/>
      <c r="AI268" s="66"/>
      <c r="AJ268" s="66"/>
      <c r="AK268" s="66"/>
      <c r="AL268" s="66"/>
      <c r="AM268" s="66"/>
      <c r="AN268" s="66"/>
      <c r="AO268" s="66"/>
      <c r="AP268" s="66"/>
      <c r="AQ268" s="66"/>
      <c r="AR268" s="66"/>
      <c r="AS268" s="66"/>
      <c r="AT268" s="66"/>
      <c r="AU268" s="66"/>
      <c r="AV268" s="66"/>
      <c r="AW268" s="66"/>
      <c r="AX268" s="66"/>
      <c r="AY268" s="66"/>
      <c r="AZ268" s="66"/>
      <c r="BA268" s="66"/>
      <c r="BB268" s="66"/>
      <c r="BC268" s="66"/>
      <c r="BD268" s="66"/>
      <c r="BE268" s="66"/>
      <c r="BF268" s="66"/>
      <c r="BG268" s="66"/>
      <c r="BH268" s="66"/>
      <c r="BI268" s="66"/>
      <c r="BJ268" s="66"/>
      <c r="BK268" s="66"/>
      <c r="BL268" s="66"/>
      <c r="BM268" s="66"/>
      <c r="BN268" s="66"/>
      <c r="BO268" s="66"/>
      <c r="BP268" s="66"/>
      <c r="BQ268" s="66"/>
    </row>
    <row r="269" spans="1:69" s="70" customFormat="1" ht="14">
      <c r="A269" s="116" t="s">
        <v>45</v>
      </c>
      <c r="B269" s="112"/>
      <c r="C269" s="264" t="s">
        <v>267</v>
      </c>
      <c r="D269" s="157"/>
      <c r="E269" s="159"/>
      <c r="F269" s="159"/>
      <c r="G269" s="159"/>
      <c r="H269" s="157"/>
      <c r="I269" s="159"/>
      <c r="J269" s="150"/>
      <c r="K269" s="150"/>
      <c r="L269" s="150"/>
      <c r="M269" s="150"/>
      <c r="N269" s="66"/>
      <c r="O269" s="66"/>
      <c r="P269" s="66"/>
      <c r="Q269" s="66"/>
      <c r="R269" s="66"/>
      <c r="S269" s="66"/>
      <c r="T269" s="66"/>
      <c r="U269" s="66"/>
      <c r="V269" s="66"/>
      <c r="W269" s="66"/>
      <c r="X269" s="66"/>
      <c r="Y269" s="66"/>
      <c r="Z269" s="66"/>
      <c r="AA269" s="66"/>
      <c r="AB269" s="66"/>
      <c r="AC269" s="66"/>
      <c r="AD269" s="66"/>
      <c r="AE269" s="66"/>
      <c r="AF269" s="66"/>
      <c r="AG269" s="66"/>
      <c r="AH269" s="66"/>
      <c r="AI269" s="66"/>
      <c r="AJ269" s="66"/>
      <c r="AK269" s="66"/>
      <c r="AL269" s="66"/>
      <c r="AM269" s="66"/>
      <c r="AN269" s="66"/>
      <c r="AO269" s="66"/>
      <c r="AP269" s="66"/>
      <c r="AQ269" s="66"/>
      <c r="AR269" s="66"/>
      <c r="AS269" s="66"/>
      <c r="AT269" s="66"/>
      <c r="AU269" s="66"/>
      <c r="AV269" s="66"/>
      <c r="AW269" s="66"/>
      <c r="AX269" s="66"/>
      <c r="AY269" s="66"/>
      <c r="AZ269" s="66"/>
      <c r="BA269" s="66"/>
      <c r="BB269" s="66"/>
      <c r="BC269" s="66"/>
      <c r="BD269" s="66"/>
      <c r="BE269" s="66"/>
      <c r="BF269" s="66"/>
      <c r="BG269" s="66"/>
      <c r="BH269" s="66"/>
      <c r="BI269" s="66"/>
      <c r="BJ269" s="66"/>
      <c r="BK269" s="66"/>
      <c r="BL269" s="66"/>
      <c r="BM269" s="66"/>
      <c r="BN269" s="66"/>
      <c r="BO269" s="66"/>
      <c r="BP269" s="66"/>
      <c r="BQ269" s="66"/>
    </row>
    <row r="270" spans="1:69" s="70" customFormat="1" ht="14">
      <c r="A270" s="82" t="s">
        <v>94</v>
      </c>
      <c r="B270" s="82"/>
      <c r="C270" s="490">
        <f>+C53</f>
        <v>-1932400</v>
      </c>
      <c r="D270" s="159"/>
      <c r="E270" s="159"/>
      <c r="F270" s="159"/>
      <c r="G270" s="159"/>
      <c r="H270" s="157"/>
      <c r="I270" s="159"/>
      <c r="J270" s="150"/>
      <c r="K270" s="150"/>
      <c r="L270" s="150" t="s">
        <v>91</v>
      </c>
      <c r="M270" s="150"/>
      <c r="N270" s="66"/>
      <c r="O270" s="66"/>
      <c r="P270" s="66"/>
      <c r="Q270" s="66"/>
      <c r="R270" s="66"/>
      <c r="S270" s="66"/>
      <c r="T270" s="66"/>
      <c r="U270" s="66"/>
      <c r="V270" s="66"/>
      <c r="W270" s="66"/>
      <c r="X270" s="66"/>
      <c r="Y270" s="66"/>
      <c r="Z270" s="66"/>
      <c r="AA270" s="66"/>
      <c r="AB270" s="66"/>
      <c r="AC270" s="66"/>
      <c r="AD270" s="66"/>
      <c r="AE270" s="66"/>
      <c r="AF270" s="66"/>
      <c r="AG270" s="66"/>
      <c r="AH270" s="66"/>
      <c r="AI270" s="66"/>
      <c r="AJ270" s="66"/>
      <c r="AK270" s="66"/>
      <c r="AL270" s="66"/>
      <c r="AM270" s="66"/>
      <c r="AN270" s="66"/>
      <c r="AO270" s="66"/>
      <c r="AP270" s="66"/>
      <c r="AQ270" s="66"/>
      <c r="AR270" s="66"/>
      <c r="AS270" s="66"/>
      <c r="AT270" s="66"/>
      <c r="AU270" s="66"/>
      <c r="AV270" s="66"/>
      <c r="AW270" s="66"/>
      <c r="AX270" s="66"/>
      <c r="AY270" s="66"/>
      <c r="AZ270" s="66"/>
      <c r="BA270" s="66"/>
      <c r="BB270" s="66"/>
      <c r="BC270" s="66"/>
      <c r="BD270" s="66"/>
      <c r="BE270" s="66"/>
      <c r="BF270" s="66"/>
      <c r="BG270" s="66"/>
      <c r="BH270" s="66"/>
      <c r="BI270" s="66"/>
      <c r="BJ270" s="66"/>
      <c r="BK270" s="66"/>
      <c r="BL270" s="66"/>
      <c r="BM270" s="66"/>
      <c r="BN270" s="66"/>
      <c r="BO270" s="66"/>
      <c r="BP270" s="66"/>
      <c r="BQ270" s="66"/>
    </row>
    <row r="271" spans="1:69" s="70" customFormat="1" ht="14">
      <c r="A271" s="84" t="str">
        <f>A55</f>
        <v>Costos de Construcción (Hard Costs 1)</v>
      </c>
      <c r="B271" s="84"/>
      <c r="C271" s="16">
        <f>C69</f>
        <v>-13714057.140000001</v>
      </c>
      <c r="D271" s="159"/>
      <c r="E271" s="159"/>
      <c r="F271" s="159"/>
      <c r="G271" s="159"/>
      <c r="H271" s="157"/>
      <c r="I271" s="159"/>
      <c r="J271" s="150"/>
      <c r="K271" s="150"/>
      <c r="L271" s="150"/>
      <c r="M271" s="150"/>
      <c r="N271" s="66"/>
      <c r="O271" s="66"/>
      <c r="P271" s="66"/>
      <c r="Q271" s="66"/>
      <c r="R271" s="66"/>
      <c r="S271" s="66"/>
      <c r="T271" s="66"/>
      <c r="U271" s="66"/>
      <c r="V271" s="66"/>
      <c r="W271" s="66"/>
      <c r="X271" s="66"/>
      <c r="Y271" s="66"/>
      <c r="Z271" s="66"/>
      <c r="AA271" s="66"/>
      <c r="AB271" s="66"/>
      <c r="AC271" s="66"/>
      <c r="AD271" s="66"/>
      <c r="AE271" s="66"/>
      <c r="AF271" s="66"/>
      <c r="AG271" s="66"/>
      <c r="AH271" s="66"/>
      <c r="AI271" s="66"/>
      <c r="AJ271" s="66"/>
      <c r="AK271" s="66"/>
      <c r="AL271" s="66"/>
      <c r="AM271" s="66"/>
      <c r="AN271" s="66"/>
      <c r="AO271" s="66"/>
      <c r="AP271" s="66"/>
      <c r="AQ271" s="66"/>
      <c r="AR271" s="66"/>
      <c r="AS271" s="66"/>
      <c r="AT271" s="66"/>
      <c r="AU271" s="66"/>
      <c r="AV271" s="66"/>
      <c r="AW271" s="66"/>
      <c r="AX271" s="66"/>
      <c r="AY271" s="66"/>
      <c r="AZ271" s="66"/>
      <c r="BA271" s="66"/>
      <c r="BB271" s="66"/>
      <c r="BC271" s="66"/>
      <c r="BD271" s="66"/>
      <c r="BE271" s="66"/>
      <c r="BF271" s="66"/>
      <c r="BG271" s="66"/>
      <c r="BH271" s="66"/>
      <c r="BI271" s="66"/>
      <c r="BJ271" s="66"/>
      <c r="BK271" s="66"/>
      <c r="BL271" s="66"/>
      <c r="BM271" s="66"/>
      <c r="BN271" s="66"/>
      <c r="BO271" s="66"/>
      <c r="BP271" s="66"/>
      <c r="BQ271" s="66"/>
    </row>
    <row r="272" spans="1:69" s="70" customFormat="1" ht="14">
      <c r="A272" s="84" t="str">
        <f>A71</f>
        <v>Otros Costos de Construcción (Hard Costs 2)</v>
      </c>
      <c r="B272" s="84"/>
      <c r="C272" s="16">
        <f>C75</f>
        <v>-1021330.8546000002</v>
      </c>
      <c r="D272" s="159"/>
      <c r="E272" s="159"/>
      <c r="F272" s="159"/>
      <c r="G272" s="159"/>
      <c r="H272" s="157"/>
      <c r="I272" s="159"/>
      <c r="J272" s="150"/>
      <c r="K272" s="150"/>
      <c r="L272" s="150"/>
      <c r="M272" s="150"/>
      <c r="N272" s="66"/>
      <c r="O272" s="66"/>
      <c r="P272" s="66"/>
      <c r="Q272" s="66"/>
      <c r="R272" s="66"/>
      <c r="S272" s="66"/>
      <c r="T272" s="66"/>
      <c r="U272" s="66"/>
      <c r="V272" s="66"/>
      <c r="W272" s="66"/>
      <c r="X272" s="66"/>
      <c r="Y272" s="66"/>
      <c r="Z272" s="66"/>
      <c r="AA272" s="66"/>
      <c r="AB272" s="66"/>
      <c r="AC272" s="66"/>
      <c r="AD272" s="66"/>
      <c r="AE272" s="66"/>
      <c r="AF272" s="66"/>
      <c r="AG272" s="66"/>
      <c r="AH272" s="66"/>
      <c r="AI272" s="66"/>
      <c r="AJ272" s="66"/>
      <c r="AK272" s="66"/>
      <c r="AL272" s="66"/>
      <c r="AM272" s="66"/>
      <c r="AN272" s="66"/>
      <c r="AO272" s="66"/>
      <c r="AP272" s="66"/>
      <c r="AQ272" s="66"/>
      <c r="AR272" s="66"/>
      <c r="AS272" s="66"/>
      <c r="AT272" s="66"/>
      <c r="AU272" s="66"/>
      <c r="AV272" s="66"/>
      <c r="AW272" s="66"/>
      <c r="AX272" s="66"/>
      <c r="AY272" s="66"/>
      <c r="AZ272" s="66"/>
      <c r="BA272" s="66"/>
      <c r="BB272" s="66"/>
      <c r="BC272" s="66"/>
      <c r="BD272" s="66"/>
      <c r="BE272" s="66"/>
      <c r="BF272" s="66"/>
      <c r="BG272" s="66"/>
      <c r="BH272" s="66"/>
      <c r="BI272" s="66"/>
      <c r="BJ272" s="66"/>
      <c r="BK272" s="66"/>
      <c r="BL272" s="66"/>
      <c r="BM272" s="66"/>
      <c r="BN272" s="66"/>
      <c r="BO272" s="66"/>
      <c r="BP272" s="66"/>
      <c r="BQ272" s="66"/>
    </row>
    <row r="273" spans="1:69" s="70" customFormat="1" ht="14">
      <c r="A273" s="84" t="str">
        <f>A77</f>
        <v>Otros Costos (UVAs - S/IVA) (Soft Costs y Gastos)</v>
      </c>
      <c r="B273" s="84"/>
      <c r="C273" s="16">
        <f>C92+C229</f>
        <v>-4937323.8274010895</v>
      </c>
      <c r="D273" s="159"/>
      <c r="E273" s="159"/>
      <c r="F273" s="159"/>
      <c r="G273" s="159"/>
      <c r="H273" s="157"/>
      <c r="I273" s="159"/>
      <c r="J273" s="150"/>
      <c r="K273" s="150"/>
      <c r="L273" s="150"/>
      <c r="M273" s="150"/>
      <c r="N273" s="66"/>
      <c r="O273" s="66"/>
      <c r="P273" s="66"/>
      <c r="Q273" s="66"/>
      <c r="R273" s="66"/>
      <c r="S273" s="66"/>
      <c r="T273" s="66"/>
      <c r="U273" s="66"/>
      <c r="V273" s="66"/>
      <c r="W273" s="66"/>
      <c r="X273" s="66"/>
      <c r="Y273" s="66"/>
      <c r="Z273" s="66"/>
      <c r="AA273" s="66"/>
      <c r="AB273" s="66"/>
      <c r="AC273" s="66"/>
      <c r="AD273" s="66"/>
      <c r="AE273" s="66"/>
      <c r="AF273" s="66"/>
      <c r="AG273" s="66"/>
      <c r="AH273" s="66"/>
      <c r="AI273" s="66"/>
      <c r="AJ273" s="66"/>
      <c r="AK273" s="66"/>
      <c r="AL273" s="66"/>
      <c r="AM273" s="66"/>
      <c r="AN273" s="66"/>
      <c r="AO273" s="66"/>
      <c r="AP273" s="66"/>
      <c r="AQ273" s="66"/>
      <c r="AR273" s="66"/>
      <c r="AS273" s="66"/>
      <c r="AT273" s="66"/>
      <c r="AU273" s="66"/>
      <c r="AV273" s="66"/>
      <c r="AW273" s="66"/>
      <c r="AX273" s="66"/>
      <c r="AY273" s="66"/>
      <c r="AZ273" s="66"/>
      <c r="BA273" s="66"/>
      <c r="BB273" s="66"/>
      <c r="BC273" s="66"/>
      <c r="BD273" s="66"/>
      <c r="BE273" s="66"/>
      <c r="BF273" s="66"/>
      <c r="BG273" s="66"/>
      <c r="BH273" s="66"/>
      <c r="BI273" s="66"/>
      <c r="BJ273" s="66"/>
      <c r="BK273" s="66"/>
      <c r="BL273" s="66"/>
      <c r="BM273" s="66"/>
      <c r="BN273" s="66"/>
      <c r="BO273" s="66"/>
      <c r="BP273" s="66"/>
      <c r="BQ273" s="66"/>
    </row>
    <row r="274" spans="1:69" s="70" customFormat="1" ht="14">
      <c r="A274" s="86" t="s">
        <v>97</v>
      </c>
      <c r="B274" s="86"/>
      <c r="C274" s="17">
        <f>+C250+C243</f>
        <v>0</v>
      </c>
      <c r="D274" s="159"/>
      <c r="E274" s="159"/>
      <c r="F274" s="159"/>
      <c r="G274" s="159"/>
      <c r="H274" s="157"/>
      <c r="I274" s="159"/>
      <c r="J274" s="150"/>
      <c r="K274" s="150"/>
      <c r="L274" s="150"/>
      <c r="M274" s="150"/>
      <c r="N274" s="66"/>
      <c r="O274" s="66"/>
      <c r="P274" s="66"/>
      <c r="Q274" s="66"/>
      <c r="R274" s="66"/>
      <c r="S274" s="66"/>
      <c r="T274" s="66"/>
      <c r="U274" s="66"/>
      <c r="V274" s="66"/>
      <c r="W274" s="66"/>
      <c r="X274" s="66"/>
      <c r="Y274" s="66"/>
      <c r="Z274" s="66"/>
      <c r="AA274" s="66"/>
      <c r="AB274" s="66"/>
      <c r="AC274" s="66"/>
      <c r="AD274" s="66"/>
      <c r="AE274" s="66"/>
      <c r="AF274" s="66"/>
      <c r="AG274" s="66"/>
      <c r="AH274" s="66"/>
      <c r="AI274" s="66"/>
      <c r="AJ274" s="66"/>
      <c r="AK274" s="66"/>
      <c r="AL274" s="66"/>
      <c r="AM274" s="66"/>
      <c r="AN274" s="66"/>
      <c r="AO274" s="66"/>
      <c r="AP274" s="66"/>
      <c r="AQ274" s="66"/>
      <c r="AR274" s="66"/>
      <c r="AS274" s="66"/>
      <c r="AT274" s="66"/>
      <c r="AU274" s="66"/>
      <c r="AV274" s="66"/>
      <c r="AW274" s="66"/>
      <c r="AX274" s="66"/>
      <c r="AY274" s="66"/>
      <c r="AZ274" s="66"/>
      <c r="BA274" s="66"/>
      <c r="BB274" s="66"/>
      <c r="BC274" s="66"/>
      <c r="BD274" s="66"/>
      <c r="BE274" s="66"/>
      <c r="BF274" s="66"/>
      <c r="BG274" s="66"/>
      <c r="BH274" s="66"/>
      <c r="BI274" s="66"/>
      <c r="BJ274" s="66"/>
      <c r="BK274" s="66"/>
      <c r="BL274" s="66"/>
      <c r="BM274" s="66"/>
      <c r="BN274" s="66"/>
      <c r="BO274" s="66"/>
      <c r="BP274" s="66"/>
      <c r="BQ274" s="66"/>
    </row>
    <row r="275" spans="1:69" s="70" customFormat="1" thickBot="1">
      <c r="A275" s="699" t="s">
        <v>79</v>
      </c>
      <c r="B275" s="699"/>
      <c r="C275" s="700">
        <f>SUM(C270:C274)</f>
        <v>-21605111.822001092</v>
      </c>
      <c r="D275" s="159"/>
      <c r="E275" s="159"/>
      <c r="F275" s="159"/>
      <c r="G275" s="159"/>
      <c r="H275" s="157"/>
      <c r="I275" s="159"/>
      <c r="J275" s="150"/>
      <c r="K275" s="150"/>
      <c r="L275" s="150"/>
      <c r="M275" s="150"/>
      <c r="N275" s="66"/>
      <c r="O275" s="66"/>
      <c r="P275" s="66"/>
      <c r="Q275" s="66"/>
      <c r="R275" s="66"/>
      <c r="S275" s="66"/>
      <c r="T275" s="66"/>
      <c r="U275" s="66"/>
      <c r="V275" s="66"/>
      <c r="W275" s="66"/>
      <c r="X275" s="66"/>
      <c r="Y275" s="66"/>
      <c r="Z275" s="66"/>
      <c r="AA275" s="66"/>
      <c r="AB275" s="66"/>
      <c r="AC275" s="66"/>
      <c r="AD275" s="66"/>
      <c r="AE275" s="66"/>
      <c r="AF275" s="66"/>
      <c r="AG275" s="66"/>
      <c r="AH275" s="66"/>
      <c r="AI275" s="66"/>
      <c r="AJ275" s="66"/>
      <c r="AK275" s="66"/>
      <c r="AL275" s="66"/>
      <c r="AM275" s="66"/>
      <c r="AN275" s="66"/>
      <c r="AO275" s="66"/>
      <c r="AP275" s="66"/>
      <c r="AQ275" s="66"/>
      <c r="AR275" s="66"/>
      <c r="AS275" s="66"/>
      <c r="AT275" s="66"/>
      <c r="AU275" s="66"/>
      <c r="AV275" s="66"/>
      <c r="AW275" s="66"/>
      <c r="AX275" s="66"/>
      <c r="AY275" s="66"/>
      <c r="AZ275" s="66"/>
      <c r="BA275" s="66"/>
      <c r="BB275" s="66"/>
      <c r="BC275" s="66"/>
      <c r="BD275" s="66"/>
      <c r="BE275" s="66"/>
      <c r="BF275" s="66"/>
      <c r="BG275" s="66"/>
      <c r="BH275" s="66"/>
      <c r="BI275" s="66"/>
      <c r="BJ275" s="66"/>
      <c r="BK275" s="66"/>
      <c r="BL275" s="66"/>
      <c r="BM275" s="66"/>
      <c r="BN275" s="66"/>
      <c r="BO275" s="66"/>
      <c r="BP275" s="66"/>
      <c r="BQ275" s="66"/>
    </row>
    <row r="276" spans="1:69" s="70" customFormat="1" thickTop="1">
      <c r="A276" s="66"/>
      <c r="C276" s="479"/>
      <c r="D276" s="159"/>
      <c r="E276" s="164"/>
      <c r="F276" s="165"/>
      <c r="G276" s="159"/>
      <c r="H276" s="157"/>
      <c r="I276" s="159"/>
      <c r="J276" s="150"/>
      <c r="K276" s="150"/>
      <c r="L276" s="150"/>
      <c r="M276" s="150"/>
      <c r="N276" s="66"/>
      <c r="O276" s="66"/>
      <c r="P276" s="66"/>
      <c r="Q276" s="66"/>
      <c r="R276" s="66"/>
      <c r="S276" s="66"/>
      <c r="T276" s="66"/>
      <c r="U276" s="66"/>
      <c r="V276" s="66"/>
      <c r="W276" s="66"/>
      <c r="X276" s="66"/>
      <c r="Y276" s="66"/>
      <c r="Z276" s="66"/>
      <c r="AA276" s="66"/>
      <c r="AB276" s="66"/>
      <c r="AC276" s="66"/>
      <c r="AD276" s="66"/>
      <c r="AE276" s="66"/>
      <c r="AF276" s="66"/>
      <c r="AG276" s="66"/>
      <c r="AH276" s="66"/>
      <c r="AI276" s="66"/>
      <c r="AJ276" s="66"/>
      <c r="AK276" s="66"/>
      <c r="AL276" s="66"/>
      <c r="AM276" s="66"/>
      <c r="AN276" s="66"/>
      <c r="AO276" s="66"/>
      <c r="AP276" s="66"/>
      <c r="AQ276" s="66"/>
      <c r="AR276" s="66"/>
      <c r="AS276" s="66"/>
      <c r="AT276" s="66"/>
      <c r="AU276" s="66"/>
      <c r="AV276" s="66"/>
      <c r="AW276" s="66"/>
      <c r="AX276" s="66"/>
      <c r="AY276" s="66"/>
      <c r="AZ276" s="66"/>
      <c r="BA276" s="66"/>
      <c r="BB276" s="66"/>
      <c r="BC276" s="66"/>
      <c r="BD276" s="66"/>
      <c r="BE276" s="66"/>
      <c r="BF276" s="66"/>
      <c r="BG276" s="66"/>
      <c r="BH276" s="66"/>
      <c r="BI276" s="66"/>
      <c r="BJ276" s="66"/>
      <c r="BK276" s="66"/>
      <c r="BL276" s="66"/>
      <c r="BM276" s="66"/>
      <c r="BN276" s="66"/>
      <c r="BO276" s="66"/>
      <c r="BP276" s="66"/>
      <c r="BQ276" s="66"/>
    </row>
    <row r="277" spans="1:69" s="70" customFormat="1" ht="14">
      <c r="A277" s="62" t="s">
        <v>46</v>
      </c>
      <c r="B277" s="112"/>
      <c r="C277" s="152"/>
      <c r="D277" s="159"/>
      <c r="E277" s="159"/>
      <c r="F277" s="159"/>
      <c r="G277" s="159"/>
      <c r="H277" s="157"/>
      <c r="I277" s="159"/>
      <c r="J277" s="150"/>
      <c r="K277" s="150"/>
      <c r="L277" s="150"/>
      <c r="M277" s="150"/>
      <c r="N277" s="66"/>
      <c r="O277" s="66"/>
      <c r="P277" s="66"/>
      <c r="Q277" s="66"/>
      <c r="R277" s="66"/>
      <c r="S277" s="66"/>
      <c r="T277" s="66"/>
      <c r="U277" s="66"/>
      <c r="V277" s="66"/>
      <c r="W277" s="66"/>
      <c r="X277" s="66"/>
      <c r="Y277" s="66"/>
      <c r="Z277" s="66"/>
      <c r="AA277" s="66"/>
      <c r="AB277" s="66"/>
      <c r="AC277" s="66"/>
      <c r="AD277" s="66"/>
      <c r="AE277" s="66"/>
      <c r="AF277" s="66"/>
      <c r="AG277" s="66"/>
      <c r="AH277" s="66"/>
      <c r="AI277" s="66"/>
      <c r="AJ277" s="66"/>
      <c r="AK277" s="66"/>
      <c r="AL277" s="66"/>
      <c r="AM277" s="66"/>
      <c r="AN277" s="66"/>
      <c r="AO277" s="66"/>
      <c r="AP277" s="66"/>
      <c r="AQ277" s="66"/>
      <c r="AR277" s="66"/>
      <c r="AS277" s="66"/>
      <c r="AT277" s="66"/>
      <c r="AU277" s="66"/>
      <c r="AV277" s="66"/>
      <c r="AW277" s="66"/>
      <c r="AX277" s="66"/>
      <c r="AY277" s="66"/>
      <c r="AZ277" s="66"/>
      <c r="BA277" s="66"/>
      <c r="BB277" s="66"/>
      <c r="BC277" s="66"/>
      <c r="BD277" s="66"/>
      <c r="BE277" s="66"/>
      <c r="BF277" s="66"/>
      <c r="BG277" s="66"/>
      <c r="BH277" s="66"/>
      <c r="BI277" s="66"/>
      <c r="BJ277" s="66"/>
      <c r="BK277" s="66"/>
      <c r="BL277" s="66"/>
      <c r="BM277" s="66"/>
      <c r="BN277" s="66"/>
      <c r="BO277" s="66"/>
      <c r="BP277" s="66"/>
      <c r="BQ277" s="66"/>
    </row>
    <row r="278" spans="1:69" s="70" customFormat="1" ht="14">
      <c r="A278" s="83" t="s">
        <v>80</v>
      </c>
      <c r="B278" s="83"/>
      <c r="C278" s="154">
        <f>+C206</f>
        <v>28760538.253385365</v>
      </c>
      <c r="D278" s="157"/>
      <c r="E278" s="159"/>
      <c r="F278" s="159"/>
      <c r="G278" s="159"/>
      <c r="H278" s="157"/>
      <c r="I278" s="159"/>
      <c r="J278" s="150"/>
      <c r="K278" s="66"/>
      <c r="L278" s="150"/>
      <c r="M278" s="150"/>
      <c r="N278" s="66"/>
      <c r="O278" s="66"/>
      <c r="P278" s="66"/>
      <c r="Q278" s="66"/>
      <c r="R278" s="66"/>
      <c r="S278" s="66"/>
      <c r="T278" s="66"/>
      <c r="U278" s="66"/>
      <c r="V278" s="66"/>
      <c r="W278" s="66"/>
      <c r="X278" s="66"/>
      <c r="Y278" s="66"/>
      <c r="Z278" s="66"/>
      <c r="AA278" s="66"/>
      <c r="AB278" s="66"/>
      <c r="AC278" s="66"/>
      <c r="AD278" s="66"/>
      <c r="AE278" s="66"/>
      <c r="AF278" s="66"/>
      <c r="AG278" s="66"/>
      <c r="AH278" s="66"/>
      <c r="AI278" s="66"/>
      <c r="AJ278" s="66"/>
      <c r="AK278" s="66"/>
      <c r="AL278" s="66"/>
      <c r="AM278" s="66"/>
      <c r="AN278" s="66"/>
      <c r="AO278" s="66"/>
      <c r="AP278" s="66"/>
      <c r="AQ278" s="66"/>
      <c r="AR278" s="66"/>
      <c r="AS278" s="66"/>
      <c r="AT278" s="66"/>
      <c r="AU278" s="66"/>
      <c r="AV278" s="66"/>
      <c r="AW278" s="66"/>
      <c r="AX278" s="66"/>
      <c r="AY278" s="66"/>
      <c r="AZ278" s="66"/>
      <c r="BA278" s="66"/>
      <c r="BB278" s="66"/>
      <c r="BC278" s="66"/>
      <c r="BD278" s="66"/>
      <c r="BE278" s="66"/>
      <c r="BF278" s="66"/>
      <c r="BG278" s="66"/>
      <c r="BH278" s="66"/>
      <c r="BI278" s="66"/>
      <c r="BJ278" s="66"/>
      <c r="BK278" s="66"/>
      <c r="BL278" s="66"/>
      <c r="BM278" s="66"/>
      <c r="BN278" s="66"/>
      <c r="BO278" s="66"/>
      <c r="BP278" s="66"/>
      <c r="BQ278" s="66"/>
    </row>
    <row r="279" spans="1:69" s="70" customFormat="1" ht="14">
      <c r="A279" s="112" t="s">
        <v>86</v>
      </c>
      <c r="B279" s="112"/>
      <c r="C279" s="123">
        <f>+C213</f>
        <v>2130012.3938489789</v>
      </c>
      <c r="D279" s="157"/>
      <c r="E279" s="159"/>
      <c r="F279" s="159"/>
      <c r="G279" s="159"/>
      <c r="H279" s="267"/>
      <c r="I279" s="267">
        <f>+D5</f>
        <v>-6</v>
      </c>
      <c r="J279" s="267">
        <f>+E5</f>
        <v>-5</v>
      </c>
      <c r="K279" s="267">
        <f>+F5</f>
        <v>-4</v>
      </c>
      <c r="L279" s="267">
        <f>+G5</f>
        <v>-3</v>
      </c>
      <c r="M279" s="267">
        <f>+H5</f>
        <v>-2</v>
      </c>
      <c r="N279" s="267">
        <f>+I5</f>
        <v>-1</v>
      </c>
      <c r="O279" s="267">
        <f>+J5</f>
        <v>1</v>
      </c>
      <c r="P279" s="267">
        <f>+K5</f>
        <v>2</v>
      </c>
      <c r="Q279" s="267">
        <f>+L5</f>
        <v>3</v>
      </c>
      <c r="R279" s="267">
        <f>+M5</f>
        <v>4</v>
      </c>
      <c r="S279" s="267">
        <f>+N5</f>
        <v>5</v>
      </c>
      <c r="T279" s="267">
        <f>+O5</f>
        <v>6</v>
      </c>
      <c r="U279" s="267">
        <f>+P5</f>
        <v>7</v>
      </c>
      <c r="V279" s="267">
        <f>+Q5</f>
        <v>8</v>
      </c>
      <c r="W279" s="267">
        <f>+R5</f>
        <v>9</v>
      </c>
      <c r="X279" s="267">
        <f>+S5</f>
        <v>10</v>
      </c>
      <c r="Y279" s="267">
        <f>+T5</f>
        <v>11</v>
      </c>
      <c r="Z279" s="267">
        <f>+U5</f>
        <v>12</v>
      </c>
      <c r="AA279" s="267">
        <f>+V5</f>
        <v>13</v>
      </c>
      <c r="AB279" s="267">
        <f>+W5</f>
        <v>14</v>
      </c>
      <c r="AC279" s="267">
        <f>+X5</f>
        <v>15</v>
      </c>
      <c r="AD279" s="267">
        <f>+Y5</f>
        <v>16</v>
      </c>
      <c r="AE279" s="267">
        <f>+Z5</f>
        <v>17</v>
      </c>
      <c r="AF279" s="267">
        <f>+AA5</f>
        <v>18</v>
      </c>
      <c r="AG279" s="267">
        <f>+AB5</f>
        <v>19</v>
      </c>
      <c r="AH279" s="267">
        <f>+AC5</f>
        <v>20</v>
      </c>
      <c r="AI279" s="267">
        <f>+AD5</f>
        <v>21</v>
      </c>
      <c r="AJ279" s="267">
        <f>+AE5</f>
        <v>22</v>
      </c>
      <c r="AK279" s="267">
        <f>+AF5</f>
        <v>23</v>
      </c>
      <c r="AL279" s="267">
        <f>+AG5</f>
        <v>24</v>
      </c>
      <c r="AM279" s="267">
        <f>+AH5</f>
        <v>25</v>
      </c>
      <c r="AN279" s="267">
        <f>+AI5</f>
        <v>26</v>
      </c>
      <c r="AO279" s="267">
        <f>+AJ5</f>
        <v>27</v>
      </c>
      <c r="AP279" s="267">
        <f>+AK5</f>
        <v>28</v>
      </c>
      <c r="AQ279" s="267">
        <f>+AL5</f>
        <v>29</v>
      </c>
      <c r="AR279" s="267">
        <f>+AM5</f>
        <v>30</v>
      </c>
      <c r="AS279" s="267">
        <f>+AN5</f>
        <v>31</v>
      </c>
      <c r="AT279" s="267">
        <f>+AO5</f>
        <v>32</v>
      </c>
      <c r="AU279" s="267">
        <f>+AP5</f>
        <v>33</v>
      </c>
      <c r="AV279" s="267">
        <f>+AQ5</f>
        <v>34</v>
      </c>
      <c r="AW279" s="267">
        <f>+AR5</f>
        <v>35</v>
      </c>
      <c r="AX279" s="267">
        <f>+AS5</f>
        <v>36</v>
      </c>
      <c r="AY279" s="267">
        <f>+AT5</f>
        <v>37</v>
      </c>
      <c r="AZ279" s="267">
        <f>+AU5</f>
        <v>38</v>
      </c>
      <c r="BA279" s="267">
        <f>+AV5</f>
        <v>39</v>
      </c>
      <c r="BB279" s="267">
        <f>+AW5</f>
        <v>40</v>
      </c>
      <c r="BC279" s="267">
        <f>+AX5</f>
        <v>41</v>
      </c>
      <c r="BD279" s="267">
        <f>+AY5</f>
        <v>42</v>
      </c>
      <c r="BE279" s="267">
        <f>+AZ5</f>
        <v>43</v>
      </c>
      <c r="BF279" s="267">
        <f>+BA5</f>
        <v>44</v>
      </c>
      <c r="BG279" s="267">
        <f>+BB5</f>
        <v>45</v>
      </c>
      <c r="BH279" s="267">
        <f>+BC5</f>
        <v>46</v>
      </c>
      <c r="BI279" s="267">
        <f>+BD5</f>
        <v>47</v>
      </c>
      <c r="BJ279" s="267">
        <f>+BE5</f>
        <v>48</v>
      </c>
      <c r="BK279" s="267">
        <f>+BF5</f>
        <v>49</v>
      </c>
      <c r="BL279" s="267">
        <f>+BG5</f>
        <v>50</v>
      </c>
      <c r="BM279" s="267">
        <f>+BH5</f>
        <v>51</v>
      </c>
      <c r="BN279" s="267">
        <f>+BI5</f>
        <v>52</v>
      </c>
      <c r="BO279" s="267"/>
      <c r="BP279" s="267"/>
      <c r="BQ279" s="267"/>
    </row>
    <row r="280" spans="1:69" s="70" customFormat="1" ht="14">
      <c r="A280" s="112" t="str">
        <f>+A215</f>
        <v>Otros Ingresos Netos</v>
      </c>
      <c r="B280" s="87"/>
      <c r="C280" s="123">
        <f>+C215</f>
        <v>431408.07380078034</v>
      </c>
      <c r="D280" s="159"/>
      <c r="E280" s="159"/>
      <c r="F280" s="159"/>
      <c r="G280" s="159"/>
      <c r="H280" s="99" t="s">
        <v>151</v>
      </c>
      <c r="I280" s="267">
        <f>+D94+D229</f>
        <v>-1943994.4</v>
      </c>
      <c r="J280" s="267">
        <f>+E94+E229+I280</f>
        <v>-1979110.5330694111</v>
      </c>
      <c r="K280" s="267">
        <f>+F94+F229+J280</f>
        <v>-2054896.8421911544</v>
      </c>
      <c r="L280" s="267">
        <f>+G94+G229+K280</f>
        <v>-2130683.1513128974</v>
      </c>
      <c r="M280" s="267">
        <f>+H94+H229+L280</f>
        <v>-2222493.3609893313</v>
      </c>
      <c r="N280" s="267">
        <f>+I94+I229+M280</f>
        <v>-2314303.5706657651</v>
      </c>
      <c r="O280" s="267">
        <f>+J94+J229+N280</f>
        <v>-2371865.2110349718</v>
      </c>
      <c r="P280" s="267">
        <f>+K94+K229+O280</f>
        <v>-2498960.5331318746</v>
      </c>
      <c r="Q280" s="267">
        <f>+L94+L229+P280</f>
        <v>-2694588.573683803</v>
      </c>
      <c r="R280" s="267">
        <f>+M94+M229+Q280</f>
        <v>-2779570.4984962428</v>
      </c>
      <c r="S280" s="267">
        <f>+N94+N229+R280</f>
        <v>-2999450.5653659804</v>
      </c>
      <c r="T280" s="267">
        <f>+O94+O229+S280</f>
        <v>-3313141.9532903703</v>
      </c>
      <c r="U280" s="267">
        <f>+P94+P229+T280</f>
        <v>-3540666.150660614</v>
      </c>
      <c r="V280" s="267">
        <f>+Q94+Q229+U280</f>
        <v>-3759470.5938344034</v>
      </c>
      <c r="W280" s="267">
        <f>+R94+R229+V280</f>
        <v>-3979273.5386162382</v>
      </c>
      <c r="X280" s="267">
        <f>+S94+S229+W280</f>
        <v>-4193692.3312144205</v>
      </c>
      <c r="Y280" s="267">
        <f>+T94+T229+X280</f>
        <v>-4420394.4075441547</v>
      </c>
      <c r="Z280" s="267">
        <f>+U94+U229+Y280</f>
        <v>-4595347.7904598694</v>
      </c>
      <c r="AA280" s="267">
        <f>+V94+V229+Z280</f>
        <v>-4789328.3622041745</v>
      </c>
      <c r="AB280" s="267">
        <f>+W94+W229+AA280</f>
        <v>-4998828.9469196741</v>
      </c>
      <c r="AC280" s="267">
        <f>+X94+X229+AB280</f>
        <v>-5227274.9877487207</v>
      </c>
      <c r="AD280" s="267">
        <f>+Y94+Y229+AC280</f>
        <v>-5545635.7395643592</v>
      </c>
      <c r="AE280" s="267">
        <f>+Z94+Z229+AD280</f>
        <v>-5900935.6863535708</v>
      </c>
      <c r="AF280" s="267">
        <f>+AA94+AA229+AE280</f>
        <v>-6292938.1428921623</v>
      </c>
      <c r="AG280" s="267">
        <f>+AB94+AB229+AF280</f>
        <v>-6721815.3166587092</v>
      </c>
      <c r="AH280" s="267">
        <f>+AC94+AC229+AG280</f>
        <v>-7169619.699503799</v>
      </c>
      <c r="AI280" s="267">
        <f>+AD94+AD229+AH280</f>
        <v>-7636142.4156318689</v>
      </c>
      <c r="AJ280" s="267">
        <f>+AE94+AE229+AI280</f>
        <v>-8192598.4828980993</v>
      </c>
      <c r="AK280" s="267">
        <f>+AF94+AF229+AJ280</f>
        <v>-8786007.2678923942</v>
      </c>
      <c r="AL280" s="267">
        <f>+AG94+AG229+AK280</f>
        <v>-9398017.4636920802</v>
      </c>
      <c r="AM280" s="267">
        <f>+AH94+AH229+AL280</f>
        <v>-10141722.60892093</v>
      </c>
      <c r="AN280" s="267">
        <f>+AI94+AI229+AM280</f>
        <v>-10882579.41501314</v>
      </c>
      <c r="AO280" s="267">
        <f>+AJ94+AJ229+AN280</f>
        <v>-11624353.43903265</v>
      </c>
      <c r="AP280" s="267">
        <f>+AK94+AK229+AO280</f>
        <v>-12377916.148791565</v>
      </c>
      <c r="AQ280" s="267">
        <f>+AL94+AL229+AP280</f>
        <v>-13179911.754110524</v>
      </c>
      <c r="AR280" s="267">
        <f>+AM94+AM229+AQ280</f>
        <v>-13936912.621838549</v>
      </c>
      <c r="AS280" s="267">
        <f>+AN94+AN229+AR280</f>
        <v>-14630082.189121727</v>
      </c>
      <c r="AT280" s="267">
        <f>+AO94+AO229+AS280</f>
        <v>-15291507.643040279</v>
      </c>
      <c r="AU280" s="267">
        <f>+AP94+AP229+AT280</f>
        <v>-15947348.815466179</v>
      </c>
      <c r="AV280" s="267">
        <f>+AQ94+AQ229+AU280</f>
        <v>-16511280.153212419</v>
      </c>
      <c r="AW280" s="267">
        <f>+AR94+AR229+AV280</f>
        <v>-17105203.567949366</v>
      </c>
      <c r="AX280" s="267">
        <f>+AS94+AS229+AW280</f>
        <v>-17694064.329756539</v>
      </c>
      <c r="AY280" s="267">
        <f>+AT94+AT229+AX280</f>
        <v>-18221981.956826907</v>
      </c>
      <c r="AZ280" s="267">
        <f>+AU94+AU229+AY280</f>
        <v>-18709888.724417616</v>
      </c>
      <c r="BA280" s="267">
        <f>+AV94+AV229+AZ280</f>
        <v>-19174278.421264157</v>
      </c>
      <c r="BB280" s="267">
        <f>+AW94+AW229+BA280</f>
        <v>-19515610.465636209</v>
      </c>
      <c r="BC280" s="267">
        <f>+AX94+AX229+BB280</f>
        <v>-19864601.850460611</v>
      </c>
      <c r="BD280" s="267">
        <f>+AY94+AY229+BC280</f>
        <v>-20208787.661236838</v>
      </c>
      <c r="BE280" s="267">
        <f>+AZ94+AZ229+BD280</f>
        <v>-20474632.372953024</v>
      </c>
      <c r="BF280" s="267">
        <f>+BA94+BA229+BE280</f>
        <v>-20716977.417475194</v>
      </c>
      <c r="BG280" s="267">
        <f>+BB94+BB229+BF280</f>
        <v>-20948410.969735809</v>
      </c>
      <c r="BH280" s="267">
        <f>+BC94+BC229+BG280</f>
        <v>-21072574.161897238</v>
      </c>
      <c r="BI280" s="267">
        <f>+BD94+BD229+BH280</f>
        <v>-21207303.245835777</v>
      </c>
      <c r="BJ280" s="267">
        <f>+BE94+BE229+BI280</f>
        <v>-21355013.647372704</v>
      </c>
      <c r="BK280" s="267">
        <f>+BF94+BF229+BJ280</f>
        <v>-21449225.669775736</v>
      </c>
      <c r="BL280" s="267">
        <f>+BG94+BG229+BK280</f>
        <v>-21531899.067312077</v>
      </c>
      <c r="BM280" s="267">
        <f>+BH94+BH229+BL280</f>
        <v>-21598069.822001092</v>
      </c>
      <c r="BN280" s="267">
        <f>+BI94+BI229+BM280</f>
        <v>-21605111.822001092</v>
      </c>
      <c r="BO280" s="267"/>
      <c r="BP280" s="267"/>
      <c r="BQ280" s="267"/>
    </row>
    <row r="281" spans="1:69" s="70" customFormat="1" thickBot="1">
      <c r="A281" s="701" t="s">
        <v>47</v>
      </c>
      <c r="B281" s="701"/>
      <c r="C281" s="702">
        <f>SUM(C278:C280)</f>
        <v>31321958.721035123</v>
      </c>
      <c r="D281" s="159"/>
      <c r="E281" s="159"/>
      <c r="F281" s="159"/>
      <c r="G281" s="159"/>
      <c r="H281" s="99" t="s">
        <v>152</v>
      </c>
      <c r="I281" s="267">
        <f>+D217</f>
        <v>0</v>
      </c>
      <c r="J281" s="267">
        <f>+E217+I281</f>
        <v>0</v>
      </c>
      <c r="K281" s="267">
        <f t="shared" ref="K281:BN281" si="327">+F217+J281</f>
        <v>0</v>
      </c>
      <c r="L281" s="267">
        <f t="shared" si="327"/>
        <v>0</v>
      </c>
      <c r="M281" s="267">
        <f t="shared" si="327"/>
        <v>0</v>
      </c>
      <c r="N281" s="267">
        <f t="shared" si="327"/>
        <v>0</v>
      </c>
      <c r="O281" s="267">
        <f t="shared" si="327"/>
        <v>0</v>
      </c>
      <c r="P281" s="267">
        <f t="shared" si="327"/>
        <v>691554.2708469131</v>
      </c>
      <c r="Q281" s="267">
        <f t="shared" si="327"/>
        <v>1243182.971794981</v>
      </c>
      <c r="R281" s="267">
        <f t="shared" si="327"/>
        <v>1751119.8865890433</v>
      </c>
      <c r="S281" s="267">
        <f t="shared" si="327"/>
        <v>2161204.3906389186</v>
      </c>
      <c r="T281" s="267">
        <f t="shared" si="327"/>
        <v>2564179.1811078014</v>
      </c>
      <c r="U281" s="267">
        <f t="shared" si="327"/>
        <v>2992094.7225634074</v>
      </c>
      <c r="V281" s="267">
        <f t="shared" si="327"/>
        <v>3357484.8329153322</v>
      </c>
      <c r="W281" s="267">
        <f t="shared" si="327"/>
        <v>3741394.4320783596</v>
      </c>
      <c r="X281" s="267">
        <f t="shared" si="327"/>
        <v>4142168.0873744604</v>
      </c>
      <c r="Y281" s="267">
        <f t="shared" si="327"/>
        <v>4501172.4566993099</v>
      </c>
      <c r="Z281" s="267">
        <f t="shared" si="327"/>
        <v>4875703.1194739547</v>
      </c>
      <c r="AA281" s="267">
        <f t="shared" si="327"/>
        <v>5266470.0777011765</v>
      </c>
      <c r="AB281" s="267">
        <f t="shared" si="327"/>
        <v>5643302.9634926813</v>
      </c>
      <c r="AC281" s="267">
        <f t="shared" si="327"/>
        <v>6035043.7693046154</v>
      </c>
      <c r="AD281" s="267">
        <f t="shared" si="327"/>
        <v>6440968.3783178758</v>
      </c>
      <c r="AE281" s="267">
        <f t="shared" si="327"/>
        <v>6868374.8748367624</v>
      </c>
      <c r="AF281" s="267">
        <f t="shared" si="327"/>
        <v>7312144.6337706009</v>
      </c>
      <c r="AG281" s="267">
        <f t="shared" si="327"/>
        <v>7773219.2040670011</v>
      </c>
      <c r="AH281" s="267">
        <f t="shared" si="327"/>
        <v>8259243.5590012344</v>
      </c>
      <c r="AI281" s="267">
        <f t="shared" si="327"/>
        <v>8765647.5622505695</v>
      </c>
      <c r="AJ281" s="267">
        <f t="shared" si="327"/>
        <v>9293907.0262389537</v>
      </c>
      <c r="AK281" s="267">
        <f t="shared" si="327"/>
        <v>9852337.1393962298</v>
      </c>
      <c r="AL281" s="267">
        <f t="shared" si="327"/>
        <v>10437433.482273782</v>
      </c>
      <c r="AM281" s="267">
        <f t="shared" si="327"/>
        <v>11051857.152767301</v>
      </c>
      <c r="AN281" s="267">
        <f t="shared" si="327"/>
        <v>11659519.692292415</v>
      </c>
      <c r="AO281" s="267">
        <f t="shared" si="327"/>
        <v>12296095.478100084</v>
      </c>
      <c r="AP281" s="267">
        <f t="shared" si="327"/>
        <v>12966494.260875899</v>
      </c>
      <c r="AQ281" s="267">
        <f t="shared" si="327"/>
        <v>13683310.809398541</v>
      </c>
      <c r="AR281" s="267">
        <f t="shared" si="327"/>
        <v>14457906.174108723</v>
      </c>
      <c r="AS281" s="267">
        <f t="shared" si="327"/>
        <v>16134786.121465025</v>
      </c>
      <c r="AT281" s="267">
        <f t="shared" si="327"/>
        <v>17568299.959815722</v>
      </c>
      <c r="AU281" s="267">
        <f t="shared" si="327"/>
        <v>19029085.370609257</v>
      </c>
      <c r="AV281" s="267">
        <f t="shared" si="327"/>
        <v>19720756.686493497</v>
      </c>
      <c r="AW281" s="267">
        <f t="shared" si="327"/>
        <v>20453100.215767652</v>
      </c>
      <c r="AX281" s="267">
        <f t="shared" si="327"/>
        <v>21192370.326146916</v>
      </c>
      <c r="AY281" s="267">
        <f t="shared" si="327"/>
        <v>22831304.731759127</v>
      </c>
      <c r="AZ281" s="267">
        <f t="shared" si="327"/>
        <v>24187362.649180446</v>
      </c>
      <c r="BA281" s="267">
        <f t="shared" si="327"/>
        <v>25557179.154551983</v>
      </c>
      <c r="BB281" s="267">
        <f t="shared" si="327"/>
        <v>25980722.928253159</v>
      </c>
      <c r="BC281" s="267">
        <f t="shared" si="327"/>
        <v>26274253.301749192</v>
      </c>
      <c r="BD281" s="267">
        <f t="shared" si="327"/>
        <v>26567783.675245225</v>
      </c>
      <c r="BE281" s="267">
        <f t="shared" si="327"/>
        <v>27699244.860248294</v>
      </c>
      <c r="BF281" s="267">
        <f t="shared" si="327"/>
        <v>28621097.473203443</v>
      </c>
      <c r="BG281" s="267">
        <f t="shared" si="327"/>
        <v>29542950.086158592</v>
      </c>
      <c r="BH281" s="267">
        <f t="shared" si="327"/>
        <v>29626871.887606706</v>
      </c>
      <c r="BI281" s="267">
        <f t="shared" si="327"/>
        <v>29710793.689054821</v>
      </c>
      <c r="BJ281" s="267">
        <f t="shared" si="327"/>
        <v>29794715.490502935</v>
      </c>
      <c r="BK281" s="267">
        <f t="shared" si="327"/>
        <v>30359744.43497907</v>
      </c>
      <c r="BL281" s="267">
        <f t="shared" si="327"/>
        <v>30840851.578007091</v>
      </c>
      <c r="BM281" s="267">
        <f t="shared" si="327"/>
        <v>31321958.721035112</v>
      </c>
      <c r="BN281" s="267">
        <f t="shared" si="327"/>
        <v>31321958.721035112</v>
      </c>
      <c r="BO281" s="267"/>
      <c r="BP281" s="267"/>
      <c r="BQ281" s="267"/>
    </row>
    <row r="282" spans="1:69" s="70" customFormat="1" thickTop="1">
      <c r="A282" s="265"/>
      <c r="B282" s="265"/>
      <c r="C282" s="491"/>
      <c r="D282" s="159"/>
      <c r="E282" s="159"/>
      <c r="F282" s="159"/>
      <c r="G282" s="159"/>
      <c r="H282" s="99" t="s">
        <v>13</v>
      </c>
      <c r="I282" s="267">
        <f>+D227</f>
        <v>0</v>
      </c>
      <c r="J282" s="267">
        <f>+E227+I282</f>
        <v>-6587.1551978400003</v>
      </c>
      <c r="K282" s="267">
        <f t="shared" ref="K282:BN282" si="328">+F227+J282</f>
        <v>-21653.488533389995</v>
      </c>
      <c r="L282" s="267">
        <f t="shared" si="328"/>
        <v>-36719.821868939987</v>
      </c>
      <c r="M282" s="267">
        <f t="shared" si="328"/>
        <v>-55126.920365903105</v>
      </c>
      <c r="N282" s="267">
        <f t="shared" si="328"/>
        <v>-73534.018862866214</v>
      </c>
      <c r="O282" s="267">
        <f t="shared" si="328"/>
        <v>-84800.756822810392</v>
      </c>
      <c r="P282" s="267">
        <f t="shared" si="328"/>
        <v>-42146.72997366757</v>
      </c>
      <c r="Q282" s="267">
        <f t="shared" si="328"/>
        <v>-10094.537428496675</v>
      </c>
      <c r="R282" s="267">
        <f t="shared" si="328"/>
        <v>0</v>
      </c>
      <c r="S282" s="267">
        <f t="shared" si="328"/>
        <v>0</v>
      </c>
      <c r="T282" s="267">
        <f t="shared" si="328"/>
        <v>0</v>
      </c>
      <c r="U282" s="267">
        <f t="shared" si="328"/>
        <v>0</v>
      </c>
      <c r="V282" s="267">
        <f t="shared" si="328"/>
        <v>0</v>
      </c>
      <c r="W282" s="267">
        <f t="shared" si="328"/>
        <v>0</v>
      </c>
      <c r="X282" s="267">
        <f t="shared" si="328"/>
        <v>0</v>
      </c>
      <c r="Y282" s="267">
        <f t="shared" si="328"/>
        <v>0</v>
      </c>
      <c r="Z282" s="267">
        <f t="shared" si="328"/>
        <v>0</v>
      </c>
      <c r="AA282" s="267">
        <f t="shared" si="328"/>
        <v>0</v>
      </c>
      <c r="AB282" s="267">
        <f t="shared" si="328"/>
        <v>0</v>
      </c>
      <c r="AC282" s="267">
        <f t="shared" si="328"/>
        <v>0</v>
      </c>
      <c r="AD282" s="267">
        <f t="shared" si="328"/>
        <v>0</v>
      </c>
      <c r="AE282" s="267">
        <f t="shared" si="328"/>
        <v>0</v>
      </c>
      <c r="AF282" s="267">
        <f t="shared" si="328"/>
        <v>0</v>
      </c>
      <c r="AG282" s="267">
        <f t="shared" si="328"/>
        <v>-21445.04253976186</v>
      </c>
      <c r="AH282" s="267">
        <f t="shared" si="328"/>
        <v>-43313.067269347121</v>
      </c>
      <c r="AI282" s="267">
        <f t="shared" si="328"/>
        <v>-66011.958855559526</v>
      </c>
      <c r="AJ282" s="267">
        <f t="shared" si="328"/>
        <v>-100009.0029145618</v>
      </c>
      <c r="AK282" s="267">
        <f t="shared" si="328"/>
        <v>-136612.81747274043</v>
      </c>
      <c r="AL282" s="267">
        <f t="shared" si="328"/>
        <v>-173426.19989557195</v>
      </c>
      <c r="AM282" s="267">
        <f t="shared" si="328"/>
        <v>-227041.30969586593</v>
      </c>
      <c r="AN282" s="267">
        <f t="shared" si="328"/>
        <v>-280754.49423802766</v>
      </c>
      <c r="AO282" s="267">
        <f t="shared" si="328"/>
        <v>-331826.9499479087</v>
      </c>
      <c r="AP282" s="267">
        <f t="shared" si="328"/>
        <v>-382605.52529197023</v>
      </c>
      <c r="AQ282" s="267">
        <f t="shared" si="328"/>
        <v>-436140.42043375259</v>
      </c>
      <c r="AR282" s="267">
        <f t="shared" si="328"/>
        <v>-476190.16719224001</v>
      </c>
      <c r="AS282" s="267">
        <f t="shared" si="328"/>
        <v>-413568.82201987354</v>
      </c>
      <c r="AT282" s="267">
        <f t="shared" si="328"/>
        <v>-368298.7038101271</v>
      </c>
      <c r="AU282" s="267">
        <f t="shared" si="328"/>
        <v>-319570.83053329459</v>
      </c>
      <c r="AV282" s="267">
        <f t="shared" si="328"/>
        <v>-338462.6230005541</v>
      </c>
      <c r="AW282" s="267">
        <f t="shared" si="328"/>
        <v>-357915.47819620132</v>
      </c>
      <c r="AX282" s="267">
        <f t="shared" si="328"/>
        <v>-374889.41477697308</v>
      </c>
      <c r="AY282" s="267">
        <f t="shared" si="328"/>
        <v>-289431.21796914178</v>
      </c>
      <c r="AZ282" s="267">
        <f t="shared" si="328"/>
        <v>-224312.06622402955</v>
      </c>
      <c r="BA282" s="267">
        <f t="shared" si="328"/>
        <v>-153976.39243491928</v>
      </c>
      <c r="BB282" s="267">
        <f t="shared" si="328"/>
        <v>-164555.54028763872</v>
      </c>
      <c r="BC282" s="267">
        <f t="shared" si="328"/>
        <v>-189303.45863991737</v>
      </c>
      <c r="BD282" s="267">
        <f t="shared" si="328"/>
        <v>-212535.85880104252</v>
      </c>
      <c r="BE282" s="267">
        <f t="shared" si="328"/>
        <v>-136068.62298047735</v>
      </c>
      <c r="BF282" s="267">
        <f t="shared" si="328"/>
        <v>-76097.753453217359</v>
      </c>
      <c r="BG282" s="267">
        <f t="shared" si="328"/>
        <v>-17220.992362319397</v>
      </c>
      <c r="BH282" s="267">
        <f t="shared" si="328"/>
        <v>-28610.510279487236</v>
      </c>
      <c r="BI282" s="267">
        <f t="shared" si="328"/>
        <v>-41574.051204467571</v>
      </c>
      <c r="BJ282" s="267">
        <f t="shared" si="328"/>
        <v>-55671.824407044413</v>
      </c>
      <c r="BK282" s="267">
        <f t="shared" si="328"/>
        <v>-19941.084040868933</v>
      </c>
      <c r="BL282" s="267">
        <f t="shared" si="328"/>
        <v>-19941.084040868933</v>
      </c>
      <c r="BM282" s="267">
        <f t="shared" si="328"/>
        <v>-19941.084040868933</v>
      </c>
      <c r="BN282" s="267">
        <f t="shared" si="328"/>
        <v>-19941.084040868933</v>
      </c>
      <c r="BO282" s="267"/>
      <c r="BP282" s="267"/>
      <c r="BQ282" s="267"/>
    </row>
    <row r="283" spans="1:69" s="70" customFormat="1" thickBot="1">
      <c r="A283" s="701" t="s">
        <v>81</v>
      </c>
      <c r="B283" s="701"/>
      <c r="C283" s="702">
        <f>C227</f>
        <v>-19941.084040868933</v>
      </c>
      <c r="D283" s="159"/>
      <c r="E283" s="159"/>
      <c r="F283" s="159"/>
      <c r="G283" s="159"/>
      <c r="H283" s="99" t="s">
        <v>98</v>
      </c>
      <c r="I283" s="267">
        <f>+I282+I281+I280</f>
        <v>-1943994.4</v>
      </c>
      <c r="J283" s="267">
        <f t="shared" ref="J283:BN283" si="329">+J282+J281+J280</f>
        <v>-1985697.688267251</v>
      </c>
      <c r="K283" s="267">
        <f t="shared" si="329"/>
        <v>-2076550.3307245444</v>
      </c>
      <c r="L283" s="267">
        <f t="shared" si="329"/>
        <v>-2167402.9731818372</v>
      </c>
      <c r="M283" s="267">
        <f t="shared" si="329"/>
        <v>-2277620.2813552343</v>
      </c>
      <c r="N283" s="267">
        <f t="shared" si="329"/>
        <v>-2387837.5895286314</v>
      </c>
      <c r="O283" s="267">
        <f t="shared" si="329"/>
        <v>-2456665.9678577823</v>
      </c>
      <c r="P283" s="267">
        <f t="shared" si="329"/>
        <v>-1849552.9922586291</v>
      </c>
      <c r="Q283" s="267">
        <f t="shared" si="329"/>
        <v>-1461500.1393173186</v>
      </c>
      <c r="R283" s="267">
        <f t="shared" si="329"/>
        <v>-1028450.6119071995</v>
      </c>
      <c r="S283" s="267">
        <f t="shared" si="329"/>
        <v>-838246.17472706176</v>
      </c>
      <c r="T283" s="267">
        <f t="shared" si="329"/>
        <v>-748962.77218256891</v>
      </c>
      <c r="U283" s="267">
        <f t="shared" si="329"/>
        <v>-548571.42809720663</v>
      </c>
      <c r="V283" s="267">
        <f t="shared" si="329"/>
        <v>-401985.76091907127</v>
      </c>
      <c r="W283" s="267">
        <f t="shared" si="329"/>
        <v>-237879.10653787851</v>
      </c>
      <c r="X283" s="267">
        <f t="shared" si="329"/>
        <v>-51524.24383996008</v>
      </c>
      <c r="Y283" s="267">
        <f t="shared" si="329"/>
        <v>80778.049155155197</v>
      </c>
      <c r="Z283" s="267">
        <f t="shared" si="329"/>
        <v>280355.32901408523</v>
      </c>
      <c r="AA283" s="267">
        <f t="shared" si="329"/>
        <v>477141.71549700201</v>
      </c>
      <c r="AB283" s="267">
        <f t="shared" si="329"/>
        <v>644474.01657300722</v>
      </c>
      <c r="AC283" s="267">
        <f t="shared" si="329"/>
        <v>807768.78155589476</v>
      </c>
      <c r="AD283" s="267">
        <f t="shared" si="329"/>
        <v>895332.6387535166</v>
      </c>
      <c r="AE283" s="267">
        <f t="shared" si="329"/>
        <v>967439.18848319165</v>
      </c>
      <c r="AF283" s="267">
        <f t="shared" si="329"/>
        <v>1019206.4908784386</v>
      </c>
      <c r="AG283" s="267">
        <f t="shared" si="329"/>
        <v>1029958.8448685305</v>
      </c>
      <c r="AH283" s="267">
        <f t="shared" si="329"/>
        <v>1046310.7922280887</v>
      </c>
      <c r="AI283" s="267">
        <f t="shared" si="329"/>
        <v>1063493.1877631405</v>
      </c>
      <c r="AJ283" s="267">
        <f t="shared" si="329"/>
        <v>1001299.5404262934</v>
      </c>
      <c r="AK283" s="267">
        <f t="shared" si="329"/>
        <v>929717.05403109454</v>
      </c>
      <c r="AL283" s="267">
        <f t="shared" si="329"/>
        <v>865989.81868612953</v>
      </c>
      <c r="AM283" s="267">
        <f t="shared" si="329"/>
        <v>683093.23415050469</v>
      </c>
      <c r="AN283" s="267">
        <f t="shared" si="329"/>
        <v>496185.78304124624</v>
      </c>
      <c r="AO283" s="267">
        <f t="shared" si="329"/>
        <v>339915.08911952563</v>
      </c>
      <c r="AP283" s="267">
        <f t="shared" si="329"/>
        <v>205972.58679236472</v>
      </c>
      <c r="AQ283" s="267">
        <f t="shared" si="329"/>
        <v>67258.634854264557</v>
      </c>
      <c r="AR283" s="267">
        <f t="shared" si="329"/>
        <v>44803.385077934712</v>
      </c>
      <c r="AS283" s="267">
        <f t="shared" si="329"/>
        <v>1091135.1103234254</v>
      </c>
      <c r="AT283" s="267">
        <f t="shared" si="329"/>
        <v>1908493.6129653174</v>
      </c>
      <c r="AU283" s="267">
        <f t="shared" si="329"/>
        <v>2762165.7246097829</v>
      </c>
      <c r="AV283" s="267">
        <f t="shared" si="329"/>
        <v>2871013.9102805238</v>
      </c>
      <c r="AW283" s="267">
        <f t="shared" si="329"/>
        <v>2989981.169622086</v>
      </c>
      <c r="AX283" s="267">
        <f t="shared" si="329"/>
        <v>3123416.5816134028</v>
      </c>
      <c r="AY283" s="267">
        <f t="shared" si="329"/>
        <v>4319891.5569630787</v>
      </c>
      <c r="AZ283" s="267">
        <f t="shared" si="329"/>
        <v>5253161.858538799</v>
      </c>
      <c r="BA283" s="267">
        <f t="shared" si="329"/>
        <v>6228924.3408529051</v>
      </c>
      <c r="BB283" s="267">
        <f t="shared" si="329"/>
        <v>6300556.9223293103</v>
      </c>
      <c r="BC283" s="267">
        <f t="shared" si="329"/>
        <v>6220347.9926486649</v>
      </c>
      <c r="BD283" s="267">
        <f t="shared" si="329"/>
        <v>6146460.1552073471</v>
      </c>
      <c r="BE283" s="267">
        <f t="shared" si="329"/>
        <v>7088543.8643147908</v>
      </c>
      <c r="BF283" s="267">
        <f t="shared" si="329"/>
        <v>7828022.3022750318</v>
      </c>
      <c r="BG283" s="267">
        <f t="shared" si="329"/>
        <v>8577318.1240604632</v>
      </c>
      <c r="BH283" s="267">
        <f t="shared" si="329"/>
        <v>8525687.2154299803</v>
      </c>
      <c r="BI283" s="267">
        <f t="shared" si="329"/>
        <v>8461916.3920145743</v>
      </c>
      <c r="BJ283" s="267">
        <f t="shared" si="329"/>
        <v>8384030.0187231861</v>
      </c>
      <c r="BK283" s="267">
        <f t="shared" si="329"/>
        <v>8890577.6811624654</v>
      </c>
      <c r="BL283" s="267">
        <f t="shared" si="329"/>
        <v>9289011.4266541451</v>
      </c>
      <c r="BM283" s="267">
        <f t="shared" si="329"/>
        <v>9703947.8149931505</v>
      </c>
      <c r="BN283" s="267">
        <f t="shared" si="329"/>
        <v>9696905.8149931505</v>
      </c>
      <c r="BO283" s="267"/>
      <c r="BP283" s="267"/>
      <c r="BQ283" s="267"/>
    </row>
    <row r="284" spans="1:69" s="70" customFormat="1" thickTop="1">
      <c r="A284" s="130"/>
      <c r="B284" s="130"/>
      <c r="C284" s="492"/>
      <c r="D284" s="159"/>
      <c r="E284" s="159"/>
      <c r="F284" s="159"/>
      <c r="G284" s="159"/>
      <c r="H284" s="267" t="s">
        <v>153</v>
      </c>
      <c r="I284" s="267">
        <f>+D252</f>
        <v>-1943994.4</v>
      </c>
      <c r="J284" s="267">
        <f>+E252+I284</f>
        <v>-1985697.688267251</v>
      </c>
      <c r="K284" s="267">
        <f t="shared" ref="K284:BN284" si="330">+F252+J284</f>
        <v>-2076550.3307245444</v>
      </c>
      <c r="L284" s="267">
        <f t="shared" si="330"/>
        <v>-2167402.9731818377</v>
      </c>
      <c r="M284" s="267">
        <f t="shared" si="330"/>
        <v>-2277620.2813552343</v>
      </c>
      <c r="N284" s="267">
        <f t="shared" si="330"/>
        <v>-2387837.589528631</v>
      </c>
      <c r="O284" s="267">
        <f t="shared" si="330"/>
        <v>-2456665.9678577818</v>
      </c>
      <c r="P284" s="267">
        <f t="shared" si="330"/>
        <v>-1849552.9922586288</v>
      </c>
      <c r="Q284" s="267">
        <f t="shared" si="330"/>
        <v>-1461500.1393173183</v>
      </c>
      <c r="R284" s="267">
        <f t="shared" si="330"/>
        <v>-1028450.6119071994</v>
      </c>
      <c r="S284" s="267">
        <f t="shared" si="330"/>
        <v>-838246.17472706176</v>
      </c>
      <c r="T284" s="267">
        <f t="shared" si="330"/>
        <v>-748962.77218256891</v>
      </c>
      <c r="U284" s="267">
        <f t="shared" si="330"/>
        <v>-548571.42809720663</v>
      </c>
      <c r="V284" s="267">
        <f t="shared" si="330"/>
        <v>-401985.76091907127</v>
      </c>
      <c r="W284" s="267">
        <f t="shared" si="330"/>
        <v>-237879.10653787886</v>
      </c>
      <c r="X284" s="267">
        <f t="shared" si="330"/>
        <v>-51524.243839960283</v>
      </c>
      <c r="Y284" s="267">
        <f t="shared" si="330"/>
        <v>80778.049155155459</v>
      </c>
      <c r="Z284" s="267">
        <f t="shared" si="330"/>
        <v>280355.32901408518</v>
      </c>
      <c r="AA284" s="267">
        <f t="shared" si="330"/>
        <v>477141.71549700212</v>
      </c>
      <c r="AB284" s="267">
        <f t="shared" si="330"/>
        <v>644474.01657300745</v>
      </c>
      <c r="AC284" s="267">
        <f t="shared" si="330"/>
        <v>807768.78155589441</v>
      </c>
      <c r="AD284" s="267">
        <f t="shared" si="330"/>
        <v>895332.63875351613</v>
      </c>
      <c r="AE284" s="267">
        <f t="shared" si="330"/>
        <v>967439.18848319107</v>
      </c>
      <c r="AF284" s="267">
        <f t="shared" si="330"/>
        <v>1019206.490878438</v>
      </c>
      <c r="AG284" s="267">
        <f t="shared" si="330"/>
        <v>1029958.844868529</v>
      </c>
      <c r="AH284" s="267">
        <f t="shared" si="330"/>
        <v>1046310.7922280873</v>
      </c>
      <c r="AI284" s="267">
        <f t="shared" si="330"/>
        <v>1063493.1877631405</v>
      </c>
      <c r="AJ284" s="267">
        <f t="shared" si="330"/>
        <v>1001299.5404262925</v>
      </c>
      <c r="AK284" s="267">
        <f t="shared" si="330"/>
        <v>929717.0540310957</v>
      </c>
      <c r="AL284" s="267">
        <f t="shared" si="330"/>
        <v>865989.81868613116</v>
      </c>
      <c r="AM284" s="267">
        <f t="shared" si="330"/>
        <v>683093.23415050609</v>
      </c>
      <c r="AN284" s="267">
        <f t="shared" si="330"/>
        <v>496185.78304124763</v>
      </c>
      <c r="AO284" s="267">
        <f t="shared" si="330"/>
        <v>339915.08911952749</v>
      </c>
      <c r="AP284" s="267">
        <f t="shared" si="330"/>
        <v>205972.58679236664</v>
      </c>
      <c r="AQ284" s="267">
        <f t="shared" si="330"/>
        <v>67258.634854266507</v>
      </c>
      <c r="AR284" s="267">
        <f t="shared" si="330"/>
        <v>44803.385077935098</v>
      </c>
      <c r="AS284" s="267">
        <f t="shared" si="330"/>
        <v>1091135.1103234268</v>
      </c>
      <c r="AT284" s="267">
        <f t="shared" si="330"/>
        <v>1908493.6129653156</v>
      </c>
      <c r="AU284" s="267">
        <f t="shared" si="330"/>
        <v>2762165.7246097843</v>
      </c>
      <c r="AV284" s="267">
        <f t="shared" si="330"/>
        <v>2871013.9102805266</v>
      </c>
      <c r="AW284" s="267">
        <f t="shared" si="330"/>
        <v>2989981.1696220874</v>
      </c>
      <c r="AX284" s="267">
        <f t="shared" si="330"/>
        <v>3123416.5816134047</v>
      </c>
      <c r="AY284" s="267">
        <f t="shared" si="330"/>
        <v>4319891.5569630805</v>
      </c>
      <c r="AZ284" s="267">
        <f t="shared" si="330"/>
        <v>5253161.8585388046</v>
      </c>
      <c r="BA284" s="267">
        <f t="shared" si="330"/>
        <v>6228924.3408529134</v>
      </c>
      <c r="BB284" s="267">
        <f t="shared" si="330"/>
        <v>6300556.9223293178</v>
      </c>
      <c r="BC284" s="267">
        <f t="shared" si="330"/>
        <v>6220347.9926486677</v>
      </c>
      <c r="BD284" s="267">
        <f t="shared" si="330"/>
        <v>6146460.155207349</v>
      </c>
      <c r="BE284" s="267">
        <f t="shared" si="330"/>
        <v>7088543.8643147955</v>
      </c>
      <c r="BF284" s="267">
        <f t="shared" si="330"/>
        <v>7828022.3022750337</v>
      </c>
      <c r="BG284" s="267">
        <f t="shared" si="330"/>
        <v>8577318.1240604669</v>
      </c>
      <c r="BH284" s="267">
        <f t="shared" si="330"/>
        <v>8525687.2154299822</v>
      </c>
      <c r="BI284" s="267">
        <f t="shared" si="330"/>
        <v>8461916.3920145743</v>
      </c>
      <c r="BJ284" s="267">
        <f t="shared" si="330"/>
        <v>8384030.0187231861</v>
      </c>
      <c r="BK284" s="267">
        <f t="shared" si="330"/>
        <v>8890577.6811624654</v>
      </c>
      <c r="BL284" s="267">
        <f t="shared" si="330"/>
        <v>9289011.426654147</v>
      </c>
      <c r="BM284" s="267">
        <f t="shared" si="330"/>
        <v>9703947.8149931524</v>
      </c>
      <c r="BN284" s="267">
        <f t="shared" si="330"/>
        <v>9696905.8149931524</v>
      </c>
      <c r="BO284" s="267"/>
      <c r="BP284" s="267"/>
      <c r="BQ284" s="267"/>
    </row>
    <row r="285" spans="1:69" s="70" customFormat="1" thickBot="1">
      <c r="A285" s="701" t="s">
        <v>82</v>
      </c>
      <c r="B285" s="701"/>
      <c r="C285" s="702">
        <f>+C283+C281+C275</f>
        <v>9696905.8149931617</v>
      </c>
      <c r="D285" s="162"/>
      <c r="E285" s="162"/>
      <c r="F285" s="162"/>
      <c r="G285" s="162"/>
      <c r="H285" s="281"/>
      <c r="I285" s="281"/>
      <c r="J285" s="281"/>
      <c r="K285" s="281"/>
      <c r="L285" s="281"/>
      <c r="M285" s="281"/>
      <c r="N285" s="281"/>
      <c r="O285" s="281"/>
      <c r="P285" s="281"/>
      <c r="Q285" s="281"/>
      <c r="R285" s="281"/>
      <c r="S285" s="281"/>
      <c r="T285" s="281"/>
      <c r="U285" s="281"/>
      <c r="V285" s="281"/>
      <c r="W285" s="281"/>
      <c r="X285" s="281"/>
      <c r="Y285" s="281"/>
      <c r="Z285" s="281"/>
      <c r="AA285" s="281"/>
      <c r="AB285" s="281"/>
      <c r="AC285" s="281"/>
      <c r="AD285" s="281"/>
      <c r="AE285" s="281"/>
      <c r="AF285" s="281"/>
      <c r="AG285" s="281"/>
      <c r="AH285" s="281"/>
      <c r="AI285" s="281"/>
      <c r="AJ285" s="281"/>
      <c r="AK285" s="281"/>
      <c r="AL285" s="281"/>
      <c r="AM285" s="281"/>
      <c r="AN285" s="281"/>
      <c r="AO285" s="281"/>
      <c r="AP285" s="281"/>
      <c r="AQ285" s="281"/>
      <c r="AR285" s="281"/>
      <c r="AS285" s="281"/>
      <c r="AT285" s="281"/>
      <c r="AU285" s="281"/>
      <c r="AV285" s="281"/>
      <c r="AW285" s="281"/>
      <c r="AX285" s="281"/>
      <c r="AZ285" s="66"/>
      <c r="BA285" s="66"/>
      <c r="BB285" s="66"/>
      <c r="BC285" s="66"/>
      <c r="BD285" s="66"/>
      <c r="BE285" s="66"/>
      <c r="BF285" s="66"/>
      <c r="BG285" s="66"/>
      <c r="BH285" s="66"/>
      <c r="BI285" s="66"/>
      <c r="BJ285" s="66"/>
      <c r="BK285" s="66"/>
      <c r="BL285" s="66"/>
      <c r="BM285" s="66"/>
      <c r="BN285" s="66"/>
      <c r="BO285" s="66"/>
      <c r="BP285" s="66"/>
      <c r="BQ285" s="66"/>
    </row>
    <row r="286" spans="1:69" s="70" customFormat="1" thickTop="1">
      <c r="A286" s="238" t="s">
        <v>87</v>
      </c>
      <c r="C286" s="250">
        <f>C285/C281</f>
        <v>0.30958810403134007</v>
      </c>
      <c r="D286" s="159"/>
      <c r="E286" s="159"/>
      <c r="F286" s="159"/>
      <c r="G286" s="159"/>
      <c r="H286" s="281"/>
      <c r="I286" s="281"/>
      <c r="J286" s="281"/>
      <c r="K286" s="281"/>
      <c r="L286" s="281"/>
      <c r="M286" s="281"/>
      <c r="N286" s="281"/>
      <c r="O286" s="281"/>
      <c r="P286" s="281"/>
      <c r="Q286" s="281"/>
      <c r="R286" s="281"/>
      <c r="S286" s="281"/>
      <c r="T286" s="281"/>
      <c r="U286" s="281"/>
      <c r="V286" s="281"/>
      <c r="W286" s="281"/>
      <c r="X286" s="281"/>
      <c r="Y286" s="281"/>
      <c r="Z286" s="281"/>
      <c r="AA286" s="281"/>
      <c r="AB286" s="281"/>
      <c r="AC286" s="281"/>
      <c r="AD286" s="281"/>
      <c r="AE286" s="281"/>
      <c r="AF286" s="281"/>
      <c r="AG286" s="281"/>
      <c r="AH286" s="281"/>
      <c r="AI286" s="281"/>
      <c r="AJ286" s="281"/>
      <c r="AK286" s="281"/>
      <c r="AL286" s="281"/>
      <c r="AM286" s="281"/>
      <c r="AN286" s="281"/>
      <c r="AO286" s="281"/>
      <c r="AP286" s="281"/>
      <c r="AQ286" s="281"/>
      <c r="AR286" s="281"/>
      <c r="AS286" s="281"/>
      <c r="AT286" s="281"/>
      <c r="AU286" s="281"/>
      <c r="AV286" s="281"/>
      <c r="AW286" s="281"/>
      <c r="AX286" s="281"/>
      <c r="AZ286" s="66"/>
      <c r="BA286" s="66"/>
      <c r="BB286" s="66"/>
      <c r="BC286" s="66"/>
      <c r="BD286" s="66"/>
      <c r="BE286" s="66"/>
      <c r="BF286" s="66"/>
      <c r="BG286" s="66"/>
      <c r="BH286" s="66"/>
      <c r="BI286" s="66"/>
      <c r="BJ286" s="66"/>
      <c r="BK286" s="66"/>
      <c r="BL286" s="66"/>
      <c r="BM286" s="66"/>
      <c r="BN286" s="66"/>
      <c r="BO286" s="66"/>
      <c r="BP286" s="66"/>
      <c r="BQ286" s="66"/>
    </row>
    <row r="287" spans="1:69" s="70" customFormat="1" ht="14">
      <c r="A287" s="238" t="s">
        <v>92</v>
      </c>
      <c r="B287" s="251"/>
      <c r="C287" s="250">
        <f>+C285/-C275</f>
        <v>0.44882460664325424</v>
      </c>
      <c r="D287" s="159"/>
      <c r="E287" s="159"/>
      <c r="F287" s="161"/>
      <c r="G287" s="159"/>
      <c r="H287" s="282" t="s">
        <v>154</v>
      </c>
      <c r="I287" s="283"/>
      <c r="J287" s="283"/>
      <c r="K287" s="283"/>
      <c r="L287" s="283"/>
      <c r="M287" s="283"/>
      <c r="N287" s="283"/>
      <c r="O287" s="283"/>
      <c r="P287" s="283"/>
      <c r="Q287" s="283"/>
      <c r="R287" s="283"/>
      <c r="S287" s="283"/>
      <c r="T287" s="283"/>
      <c r="U287" s="283"/>
      <c r="V287" s="283"/>
      <c r="W287" s="283"/>
      <c r="X287" s="283"/>
      <c r="Y287" s="283"/>
      <c r="Z287" s="283"/>
      <c r="AA287" s="283"/>
      <c r="AB287" s="283"/>
      <c r="AC287" s="283"/>
      <c r="AD287" s="283"/>
      <c r="AE287" s="283"/>
      <c r="AF287" s="283"/>
      <c r="AG287" s="283"/>
      <c r="AH287" s="283"/>
      <c r="AI287" s="283"/>
      <c r="AJ287" s="283"/>
      <c r="AK287" s="283"/>
      <c r="AL287" s="283"/>
      <c r="AM287" s="283"/>
      <c r="AN287" s="283"/>
      <c r="AO287" s="283"/>
      <c r="AP287" s="283"/>
      <c r="AQ287" s="283"/>
      <c r="AR287" s="283"/>
      <c r="AS287" s="283"/>
      <c r="AT287" s="283"/>
      <c r="AU287" s="283"/>
      <c r="AV287" s="283"/>
      <c r="AW287" s="283"/>
      <c r="AX287" s="283"/>
      <c r="AY287" s="283"/>
      <c r="AZ287" s="283"/>
      <c r="BA287" s="283"/>
      <c r="BB287" s="283"/>
      <c r="BC287" s="283"/>
      <c r="BD287" s="283"/>
      <c r="BE287" s="283"/>
      <c r="BF287" s="283"/>
      <c r="BG287" s="283"/>
      <c r="BH287" s="283"/>
      <c r="BI287" s="283"/>
      <c r="BJ287" s="283"/>
      <c r="BK287" s="283"/>
      <c r="BL287" s="283"/>
      <c r="BM287" s="283"/>
      <c r="BN287" s="283"/>
      <c r="BO287" s="66"/>
      <c r="BP287" s="66"/>
      <c r="BQ287" s="66"/>
    </row>
    <row r="288" spans="1:69" s="70" customFormat="1" ht="14">
      <c r="A288" s="66"/>
      <c r="B288" s="66"/>
      <c r="C288" s="66"/>
      <c r="D288" s="159"/>
      <c r="E288" s="159"/>
      <c r="F288" s="159"/>
      <c r="G288" s="159"/>
      <c r="H288" s="284" t="s">
        <v>155</v>
      </c>
      <c r="I288" s="284">
        <f>+D14/$C$14</f>
        <v>0</v>
      </c>
      <c r="J288" s="284">
        <f>+E14/$C$14</f>
        <v>0</v>
      </c>
      <c r="K288" s="284">
        <f>+F14/$C$14</f>
        <v>0</v>
      </c>
      <c r="L288" s="284">
        <f>+G14/$C$14</f>
        <v>0</v>
      </c>
      <c r="M288" s="284">
        <f>+H14/$C$14</f>
        <v>0</v>
      </c>
      <c r="N288" s="284">
        <f>+I14/$C$14</f>
        <v>0</v>
      </c>
      <c r="O288" s="284">
        <f>+J14/$C$14</f>
        <v>0.10000000000000003</v>
      </c>
      <c r="P288" s="284">
        <f>+K14/$C$14</f>
        <v>7.5000000000000025E-2</v>
      </c>
      <c r="Q288" s="284">
        <f>+L14/$C$14</f>
        <v>6.5000000000000016E-2</v>
      </c>
      <c r="R288" s="284">
        <f>+M14/$C$14</f>
        <v>5.0000000000000017E-2</v>
      </c>
      <c r="S288" s="284">
        <f>+N14/$C$14</f>
        <v>5.0000000000000017E-2</v>
      </c>
      <c r="T288" s="284">
        <f>+O14/$C$14</f>
        <v>5.0000000000000017E-2</v>
      </c>
      <c r="U288" s="284">
        <f>+P14/$C$14</f>
        <v>3.5000000000000017E-2</v>
      </c>
      <c r="V288" s="284">
        <f>+Q14/$C$14</f>
        <v>3.5000000000000017E-2</v>
      </c>
      <c r="W288" s="284">
        <f>+R14/$C$14</f>
        <v>3.5000000000000017E-2</v>
      </c>
      <c r="X288" s="284">
        <f>+S14/$C$14</f>
        <v>2.5000000000000008E-2</v>
      </c>
      <c r="Y288" s="284">
        <f>+T14/$C$14</f>
        <v>2.5000000000000008E-2</v>
      </c>
      <c r="Z288" s="284">
        <f>+U14/$C$14</f>
        <v>2.5000000000000008E-2</v>
      </c>
      <c r="AA288" s="284">
        <f>+V14/$C$14</f>
        <v>2.0000000000000007E-2</v>
      </c>
      <c r="AB288" s="284">
        <f>+W14/$C$14</f>
        <v>2.0000000000000007E-2</v>
      </c>
      <c r="AC288" s="284">
        <f>+X14/$C$14</f>
        <v>2.0000000000000007E-2</v>
      </c>
      <c r="AD288" s="284">
        <f>+Y14/$C$14</f>
        <v>2.0000000000000007E-2</v>
      </c>
      <c r="AE288" s="284">
        <f>+Z14/$C$14</f>
        <v>2.0000000000000007E-2</v>
      </c>
      <c r="AF288" s="284">
        <f>+AA14/$C$14</f>
        <v>2.0000000000000007E-2</v>
      </c>
      <c r="AG288" s="284">
        <f>+AB14/$C$14</f>
        <v>2.0000000000000007E-2</v>
      </c>
      <c r="AH288" s="284">
        <f>+AC14/$C$14</f>
        <v>2.0000000000000007E-2</v>
      </c>
      <c r="AI288" s="284">
        <f>+AD14/$C$14</f>
        <v>2.0000000000000007E-2</v>
      </c>
      <c r="AJ288" s="284">
        <f>+AE14/$C$14</f>
        <v>2.0000000000000007E-2</v>
      </c>
      <c r="AK288" s="284">
        <f>+AF14/$C$14</f>
        <v>2.0000000000000007E-2</v>
      </c>
      <c r="AL288" s="284">
        <f>+AG14/$C$14</f>
        <v>2.0000000000000007E-2</v>
      </c>
      <c r="AM288" s="284">
        <f>+AH14/$C$14</f>
        <v>1.5000000000000003E-2</v>
      </c>
      <c r="AN288" s="284">
        <f>+AI14/$C$14</f>
        <v>1.5000000000000003E-2</v>
      </c>
      <c r="AO288" s="284">
        <f>+AJ14/$C$14</f>
        <v>1.5000000000000003E-2</v>
      </c>
      <c r="AP288" s="284">
        <f>+AK14/$C$14</f>
        <v>1.5000000000000003E-2</v>
      </c>
      <c r="AQ288" s="284">
        <f>+AL14/$C$14</f>
        <v>1.5000000000000003E-2</v>
      </c>
      <c r="AR288" s="284">
        <f>+AM14/$C$14</f>
        <v>1.5000000000000003E-2</v>
      </c>
      <c r="AS288" s="284">
        <f>+AN14/$C$14</f>
        <v>1.5000000000000003E-2</v>
      </c>
      <c r="AT288" s="284">
        <f>+AO14/$C$14</f>
        <v>1.5000000000000003E-2</v>
      </c>
      <c r="AU288" s="284">
        <f>+AP14/$C$14</f>
        <v>1.5000000000000003E-2</v>
      </c>
      <c r="AV288" s="284">
        <f>+AQ14/$C$14</f>
        <v>1.5000000000000003E-2</v>
      </c>
      <c r="AW288" s="284">
        <f>+AR14/$C$14</f>
        <v>1.0000000000000004E-2</v>
      </c>
      <c r="AX288" s="284">
        <f>+AS14/$C$14</f>
        <v>1.0000000000000004E-2</v>
      </c>
      <c r="AY288" s="284">
        <f>+AT14/$C$14</f>
        <v>1.0000000000000004E-2</v>
      </c>
      <c r="AZ288" s="284">
        <f>+AU14/$C$14</f>
        <v>1.0000000000000004E-2</v>
      </c>
      <c r="BA288" s="284">
        <f>+AV14/$C$14</f>
        <v>0</v>
      </c>
      <c r="BB288" s="284">
        <f>+AW14/$C$14</f>
        <v>0</v>
      </c>
      <c r="BC288" s="284">
        <f>+AX14/$C$14</f>
        <v>0</v>
      </c>
      <c r="BD288" s="284">
        <f>+AY14/$C$14</f>
        <v>0</v>
      </c>
      <c r="BE288" s="284">
        <f>+AZ14/$C$14</f>
        <v>0</v>
      </c>
      <c r="BF288" s="284">
        <f>+BA14/$C$14</f>
        <v>0</v>
      </c>
      <c r="BG288" s="284">
        <f>+BB14/$C$14</f>
        <v>0</v>
      </c>
      <c r="BH288" s="284">
        <f>+BC14/$C$14</f>
        <v>0</v>
      </c>
      <c r="BI288" s="284">
        <f>+BD14/$C$14</f>
        <v>0</v>
      </c>
      <c r="BJ288" s="284">
        <f>+BE14/$C$14</f>
        <v>0</v>
      </c>
      <c r="BK288" s="284">
        <f>+BF14/$C$14</f>
        <v>0</v>
      </c>
      <c r="BL288" s="284">
        <f>+BG14/$C$14</f>
        <v>0</v>
      </c>
      <c r="BM288" s="284">
        <f>+BH14/$C$14</f>
        <v>0</v>
      </c>
      <c r="BN288" s="284">
        <f>+BI14/$C$14</f>
        <v>0</v>
      </c>
      <c r="BO288" s="297">
        <f>SUM(I288:BN288)</f>
        <v>1.0000000000000007</v>
      </c>
      <c r="BP288" s="66"/>
      <c r="BQ288" s="66"/>
    </row>
    <row r="289" spans="1:69" s="70" customFormat="1" ht="14">
      <c r="A289" s="66"/>
      <c r="B289" s="66"/>
      <c r="C289" s="66"/>
      <c r="D289" s="168"/>
      <c r="E289" s="168"/>
      <c r="F289" s="168"/>
      <c r="G289" s="168"/>
      <c r="H289" s="284" t="s">
        <v>151</v>
      </c>
      <c r="I289" s="284">
        <v>0</v>
      </c>
      <c r="J289" s="284">
        <f>+(E94+E229+E243+E250)/($C$250+C243+$C$229+$C$94-$D$252)</f>
        <v>1.7860700547017521E-3</v>
      </c>
      <c r="K289" s="284">
        <f>+(F94+F229+F243+F250)/($C$250+D243+$C$229+$C$94-$D$252)</f>
        <v>3.8546287830485814E-3</v>
      </c>
      <c r="L289" s="284">
        <f>+(G94+G229+G243+G250)/($C$250+E243+$C$229+$C$94-$D$252)</f>
        <v>3.8546287830485814E-3</v>
      </c>
      <c r="M289" s="284">
        <f>+(H94+H229+H243+H250)/($C$250+F243+$C$229+$C$94-$D$252)</f>
        <v>4.6696333532750631E-3</v>
      </c>
      <c r="N289" s="284">
        <f>+(I94+I229+I243+I250)/($C$250+G243+$C$229+$C$94-$D$252)</f>
        <v>4.6696333532750631E-3</v>
      </c>
      <c r="O289" s="284">
        <f>+(J94+J229+J243+J250)/($C$250+H243+$C$229+$C$94-$D$252)</f>
        <v>2.9276891609829958E-3</v>
      </c>
      <c r="P289" s="284">
        <f>+(K94+K229+K243+K250)/($C$250+I243+$C$229+$C$94-$D$252)</f>
        <v>6.4642980034634971E-3</v>
      </c>
      <c r="Q289" s="284">
        <f>+(L94+L229+L243+L250)/($C$250+J243+$C$229+$C$94-$D$252)</f>
        <v>9.9499960431047446E-3</v>
      </c>
      <c r="R289" s="284">
        <f>+(M94+M229+M243+M250)/($C$250+K243+$C$229+$C$94-$D$252)</f>
        <v>4.322334432393141E-3</v>
      </c>
      <c r="S289" s="284">
        <f>+(N94+N229+N243+N250)/($C$250+L243+$C$229+$C$94-$D$252)</f>
        <v>1.1183497974722874E-2</v>
      </c>
      <c r="T289" s="284">
        <f>+(O94+O229+O243+O250)/($C$250+M243+$C$229+$C$94-$D$252)</f>
        <v>1.5954911472801866E-2</v>
      </c>
      <c r="U289" s="284">
        <f>+(P94+P229+P243+P250)/($C$250+N243+$C$229+$C$94-$D$252)</f>
        <v>1.1572292280582224E-2</v>
      </c>
      <c r="V289" s="284">
        <f>+(Q94+Q229+Q243+Q250)/($C$250+O243+$C$229+$C$94-$D$252)</f>
        <v>1.1128789807691409E-2</v>
      </c>
      <c r="W289" s="284">
        <f>+(R94+R229+R243+R250)/($C$250+P243+$C$229+$C$94-$D$252)</f>
        <v>1.1179575405814534E-2</v>
      </c>
      <c r="X289" s="284">
        <f>+(S94+S229+S243+S250)/($C$250+Q243+$C$229+$C$94-$D$252)</f>
        <v>1.090572768556097E-2</v>
      </c>
      <c r="Y289" s="284">
        <f>+(T94+T229+T243+T250)/($C$250+R243+$C$229+$C$94-$D$252)</f>
        <v>1.1530477717204984E-2</v>
      </c>
      <c r="Z289" s="284">
        <f>+(U94+U229+U243+U250)/($C$250+S243+$C$229+$C$94-$D$252)</f>
        <v>8.8984455542663998E-3</v>
      </c>
      <c r="AA289" s="284">
        <f>+(V94+V229+V243+V250)/($C$250+T243+$C$229+$C$94-$D$252)</f>
        <v>9.8662027991978565E-3</v>
      </c>
      <c r="AB289" s="284">
        <f>+(W94+W229+W243+W250)/($C$250+U243+$C$229+$C$94-$D$252)</f>
        <v>1.0655578735370633E-2</v>
      </c>
      <c r="AC289" s="284">
        <f>+(X94+X229+X243+X250)/($C$250+V243+$C$229+$C$94-$D$252)</f>
        <v>1.1619178906556574E-2</v>
      </c>
      <c r="AD289" s="284">
        <f>+(Y94+Y229+Y243+Y250)/($C$250+W243+$C$229+$C$94-$D$252)</f>
        <v>1.619240376741702E-2</v>
      </c>
      <c r="AE289" s="284">
        <f>+(Z94+Z229+Z243+Z250)/($C$250+X243+$C$229+$C$94-$D$252)</f>
        <v>1.8071198048572025E-2</v>
      </c>
      <c r="AF289" s="284">
        <f>+(AA94+AA229+AA243+AA250)/($C$250+Y243+$C$229+$C$94-$D$252)</f>
        <v>1.9937954091049509E-2</v>
      </c>
      <c r="AG289" s="284">
        <f>+(AB94+AB229+AB243+AB250)/($C$250+Z243+$C$229+$C$94-$D$252)</f>
        <v>2.1813468917419074E-2</v>
      </c>
      <c r="AH289" s="284">
        <f>+(AC94+AC229+AC243+AC250)/($C$250+AA243+$C$229+$C$94-$D$252)</f>
        <v>2.2776141011394895E-2</v>
      </c>
      <c r="AI289" s="284">
        <f>+(AD94+AD229+AD243+AD250)/($C$250+AB243+$C$229+$C$94-$D$252)</f>
        <v>2.3728189304541958E-2</v>
      </c>
      <c r="AJ289" s="284">
        <f>+(AE94+AE229+AE243+AE250)/($C$250+AC243+$C$229+$C$94-$D$252)</f>
        <v>2.830236223723212E-2</v>
      </c>
      <c r="AK289" s="284">
        <f>+(AF94+AF229+AF243+AF250)/($C$250+AD243+$C$229+$C$94-$D$252)</f>
        <v>3.0181844310143906E-2</v>
      </c>
      <c r="AL289" s="284">
        <f>+(AG94+AG229+AG243+AG250)/($C$250+AE243+$C$229+$C$94-$D$252)</f>
        <v>3.112794571456234E-2</v>
      </c>
      <c r="AM289" s="284">
        <f>+(AH94+AH229+AH243+AH250)/($C$250+AF243+$C$229+$C$94-$D$252)</f>
        <v>3.7826189085094067E-2</v>
      </c>
      <c r="AN289" s="284">
        <f>+(AI94+AI229+AI243+AI250)/($C$250+AG243+$C$229+$C$94-$D$252)</f>
        <v>3.7681317403820601E-2</v>
      </c>
      <c r="AO289" s="284">
        <f>+(AJ94+AJ229+AJ243+AJ250)/($C$250+AH243+$C$229+$C$94-$D$252)</f>
        <v>3.7727968766894861E-2</v>
      </c>
      <c r="AP289" s="284">
        <f>+(AK94+AK229+AK243+AK250)/($C$250+AI243+$C$229+$C$94-$D$252)</f>
        <v>3.8327562649906499E-2</v>
      </c>
      <c r="AQ289" s="284">
        <f>+(AL94+AL229+AL243+AL250)/($C$250+AJ243+$C$229+$C$94-$D$252)</f>
        <v>4.0790947335552469E-2</v>
      </c>
      <c r="AR289" s="284">
        <f>+(AM94+AM229+AM243+AM250)/($C$250+AK243+$C$229+$C$94-$D$252)</f>
        <v>3.8502433584010336E-2</v>
      </c>
      <c r="AS289" s="284">
        <f>+(AN94+AN229+AN243+AN250)/($C$250+AL243+$C$229+$C$94-$D$252)</f>
        <v>3.5255858169460433E-2</v>
      </c>
      <c r="AT289" s="284">
        <f>+(AO94+AO229+AO243+AO250)/($C$250+AM243+$C$229+$C$94-$D$252)</f>
        <v>3.3641295137091631E-2</v>
      </c>
      <c r="AU289" s="284">
        <f>+(AP94+AP229+AP243+AP250)/($C$250+AN243+$C$229+$C$94-$D$252)</f>
        <v>3.3357268478138663E-2</v>
      </c>
      <c r="AV289" s="284">
        <f>+(AQ94+AQ229+AQ243+AQ250)/($C$250+AO243+$C$229+$C$94-$D$252)</f>
        <v>2.8682568016973043E-2</v>
      </c>
      <c r="AW289" s="284">
        <f>+(AR94+AR229+AR243+AR250)/($C$250+AP243+$C$229+$C$94-$D$252)</f>
        <v>3.020801930984544E-2</v>
      </c>
      <c r="AX289" s="284">
        <f>+(AS94+AS229+AS243+AS250)/($C$250+AQ243+$C$229+$C$94-$D$252)</f>
        <v>2.9950523623251981E-2</v>
      </c>
      <c r="AY289" s="284">
        <f>+(AT94+AT229+AT243+AT250)/($C$250+AR243+$C$229+$C$94-$D$252)</f>
        <v>2.6850845541445127E-2</v>
      </c>
      <c r="AZ289" s="284">
        <f>+(AU94+AU229+AU243+AU250)/($C$250+AS243+$C$229+$C$94-$D$252)</f>
        <v>2.4815820846720221E-2</v>
      </c>
      <c r="BA289" s="284">
        <f>+(AV94+AV229+AV243+AV250)/($C$250+AT243+$C$229+$C$94-$D$252)</f>
        <v>2.3619700085147792E-2</v>
      </c>
      <c r="BB289" s="284">
        <f>+(AW94+AW229+AW243+AW250)/($C$250+AU243+$C$229+$C$94-$D$252)</f>
        <v>1.7360765263020987E-2</v>
      </c>
      <c r="BC289" s="284">
        <f>+(AX94+AX229+AX243+AX250)/($C$250+AV243+$C$229+$C$94-$D$252)</f>
        <v>1.7750333174546676E-2</v>
      </c>
      <c r="BD289" s="284">
        <f>+(AY94+AY229+AY243+AY250)/($C$250+AW243+$C$229+$C$94-$D$252)</f>
        <v>1.750591298493932E-2</v>
      </c>
      <c r="BE289" s="284">
        <f>+(AZ94+AZ229+AZ243+AZ250)/($C$250+AX243+$C$229+$C$94-$D$252)</f>
        <v>1.3521342963889795E-2</v>
      </c>
      <c r="BF289" s="284">
        <f>+(BA94+BA229+BA243+BA250)/($C$250+AY243+$C$229+$C$94-$D$252)</f>
        <v>1.2326107378362035E-2</v>
      </c>
      <c r="BG289" s="284">
        <f>+(BB94+BB229+BB243+BB250)/($C$250+AZ243+$C$229+$C$94-$D$252)</f>
        <v>1.177112914251947E-2</v>
      </c>
      <c r="BH289" s="284">
        <f>+(BC94+BC229+BC243+BC250)/($C$250+BA243+$C$229+$C$94-$D$252)</f>
        <v>6.3151645705798497E-3</v>
      </c>
      <c r="BI289" s="284">
        <f>+(BD94+BD229+BD243+BD250)/($C$250+BB243+$C$229+$C$94-$D$252)</f>
        <v>6.8525649405754025E-3</v>
      </c>
      <c r="BJ289" s="284">
        <f>+(BE94+BE229+BE243+BE250)/($C$250+BC243+$C$229+$C$94-$D$252)</f>
        <v>7.5128182374637155E-3</v>
      </c>
      <c r="BK289" s="284">
        <f>+(BF94+BF229+BF243+BF250)/($C$250+BD243+$C$229+$C$94-$D$252)</f>
        <v>4.7917938935458189E-3</v>
      </c>
      <c r="BL289" s="284">
        <f>+(BG94+BG229+BG243+BG250)/($C$250+BE243+$C$229+$C$94-$D$252)</f>
        <v>4.204918558892645E-3</v>
      </c>
      <c r="BM289" s="284">
        <f>+(BH94+BH229+BH243+BH250)/($C$250+BF243+$C$229+$C$94-$D$252)</f>
        <v>3.3655642895947741E-3</v>
      </c>
      <c r="BN289" s="284">
        <f>+(BI94+BI229+BI243+BI250)/($C$250+BG243+$C$229+$C$94-$D$252)</f>
        <v>3.581688593202692E-4</v>
      </c>
      <c r="BO289" s="297">
        <f t="shared" ref="BO289:BO290" si="331">SUM(I289:BN289)</f>
        <v>1.0000000000000004</v>
      </c>
      <c r="BP289" s="66"/>
      <c r="BQ289" s="66"/>
    </row>
    <row r="290" spans="1:69" s="70" customFormat="1" ht="14">
      <c r="A290" s="66"/>
      <c r="B290" s="66"/>
      <c r="C290" s="262"/>
      <c r="D290" s="168"/>
      <c r="E290" s="168"/>
      <c r="F290" s="168"/>
      <c r="G290" s="168"/>
      <c r="H290" s="284" t="s">
        <v>152</v>
      </c>
      <c r="I290" s="284">
        <f>+D217/$C$217</f>
        <v>0</v>
      </c>
      <c r="J290" s="284">
        <f t="shared" ref="J290:BN290" si="332">+E217/$C$217</f>
        <v>0</v>
      </c>
      <c r="K290" s="284">
        <f t="shared" si="332"/>
        <v>0</v>
      </c>
      <c r="L290" s="284">
        <f t="shared" si="332"/>
        <v>0</v>
      </c>
      <c r="M290" s="284">
        <f t="shared" si="332"/>
        <v>0</v>
      </c>
      <c r="N290" s="284">
        <f t="shared" si="332"/>
        <v>0</v>
      </c>
      <c r="O290" s="284">
        <f t="shared" si="332"/>
        <v>0</v>
      </c>
      <c r="P290" s="284">
        <f t="shared" si="332"/>
        <v>2.2078896055197247E-2</v>
      </c>
      <c r="Q290" s="284">
        <f t="shared" si="332"/>
        <v>1.7611564648976018E-2</v>
      </c>
      <c r="R290" s="284">
        <f t="shared" si="332"/>
        <v>1.6216639556866006E-2</v>
      </c>
      <c r="S290" s="284">
        <f t="shared" si="332"/>
        <v>1.3092556174479341E-2</v>
      </c>
      <c r="T290" s="284">
        <f t="shared" si="332"/>
        <v>1.2865568020758991E-2</v>
      </c>
      <c r="U290" s="284">
        <f t="shared" si="332"/>
        <v>1.3661838496972022E-2</v>
      </c>
      <c r="V290" s="284">
        <f t="shared" si="332"/>
        <v>1.1665621349106028E-2</v>
      </c>
      <c r="W290" s="284">
        <f t="shared" si="332"/>
        <v>1.2256883504070339E-2</v>
      </c>
      <c r="X290" s="284">
        <f t="shared" si="332"/>
        <v>1.2795293514864078E-2</v>
      </c>
      <c r="Y290" s="284">
        <f t="shared" si="332"/>
        <v>1.14617470932222E-2</v>
      </c>
      <c r="Z290" s="284">
        <f t="shared" si="332"/>
        <v>1.1957447045708501E-2</v>
      </c>
      <c r="AA290" s="284">
        <f t="shared" si="332"/>
        <v>1.2475814865460238E-2</v>
      </c>
      <c r="AB290" s="284">
        <f t="shared" si="332"/>
        <v>1.2030948930994942E-2</v>
      </c>
      <c r="AC290" s="284">
        <f t="shared" si="332"/>
        <v>1.2506906394358083E-2</v>
      </c>
      <c r="AD290" s="284">
        <f t="shared" si="332"/>
        <v>1.2959745354004657E-2</v>
      </c>
      <c r="AE290" s="284">
        <f t="shared" si="332"/>
        <v>1.3645586482171372E-2</v>
      </c>
      <c r="AF290" s="284">
        <f t="shared" si="332"/>
        <v>1.4168007910559327E-2</v>
      </c>
      <c r="AG290" s="284">
        <f t="shared" si="332"/>
        <v>1.4720489685938861E-2</v>
      </c>
      <c r="AH290" s="284">
        <f t="shared" si="332"/>
        <v>1.5517048574865477E-2</v>
      </c>
      <c r="AI290" s="284">
        <f t="shared" si="332"/>
        <v>1.616769908164287E-2</v>
      </c>
      <c r="AJ290" s="284">
        <f t="shared" si="332"/>
        <v>1.6865467089502841E-2</v>
      </c>
      <c r="AK290" s="284">
        <f t="shared" si="332"/>
        <v>1.7828709824020284E-2</v>
      </c>
      <c r="AL290" s="284">
        <f t="shared" si="332"/>
        <v>1.8680068768643615E-2</v>
      </c>
      <c r="AM290" s="284">
        <f t="shared" si="332"/>
        <v>1.9616387211470469E-2</v>
      </c>
      <c r="AN290" s="284">
        <f t="shared" si="332"/>
        <v>1.9400528074798234E-2</v>
      </c>
      <c r="AO290" s="284">
        <f t="shared" si="332"/>
        <v>2.0323626356743785E-2</v>
      </c>
      <c r="AP290" s="284">
        <f t="shared" si="332"/>
        <v>2.1403475713209174E-2</v>
      </c>
      <c r="AQ290" s="284">
        <f t="shared" si="332"/>
        <v>2.2885431747959102E-2</v>
      </c>
      <c r="AR290" s="284">
        <f t="shared" si="332"/>
        <v>2.4730106172765644E-2</v>
      </c>
      <c r="AS290" s="284">
        <f t="shared" si="332"/>
        <v>5.3536880062042505E-2</v>
      </c>
      <c r="AT290" s="284">
        <f t="shared" si="332"/>
        <v>4.5767055985166727E-2</v>
      </c>
      <c r="AU290" s="284">
        <f t="shared" si="332"/>
        <v>4.663774139426681E-2</v>
      </c>
      <c r="AV290" s="284">
        <f t="shared" si="332"/>
        <v>2.2082632891656639E-2</v>
      </c>
      <c r="AW290" s="284">
        <f t="shared" si="332"/>
        <v>2.338115364357243E-2</v>
      </c>
      <c r="AX290" s="284">
        <f t="shared" si="332"/>
        <v>2.3602295021313172E-2</v>
      </c>
      <c r="AY290" s="284">
        <f t="shared" si="332"/>
        <v>5.232541234758542E-2</v>
      </c>
      <c r="AZ290" s="284">
        <f t="shared" si="332"/>
        <v>4.3294160799420965E-2</v>
      </c>
      <c r="BA290" s="284">
        <f t="shared" si="332"/>
        <v>4.3733424131345934E-2</v>
      </c>
      <c r="BB290" s="284">
        <f t="shared" si="332"/>
        <v>1.3522263325656415E-2</v>
      </c>
      <c r="BC290" s="284">
        <f t="shared" si="332"/>
        <v>9.3713926421499297E-3</v>
      </c>
      <c r="BD290" s="284">
        <f t="shared" si="332"/>
        <v>9.3713926421499297E-3</v>
      </c>
      <c r="BE290" s="284">
        <f t="shared" si="332"/>
        <v>3.6123576915488467E-2</v>
      </c>
      <c r="BF290" s="284">
        <f t="shared" si="332"/>
        <v>2.9431512287130798E-2</v>
      </c>
      <c r="BG290" s="284">
        <f t="shared" si="332"/>
        <v>2.9431512287130798E-2</v>
      </c>
      <c r="BH290" s="284">
        <f t="shared" si="332"/>
        <v>2.679328013792255E-3</v>
      </c>
      <c r="BI290" s="284">
        <f t="shared" si="332"/>
        <v>2.679328013792255E-3</v>
      </c>
      <c r="BJ290" s="284">
        <f t="shared" si="332"/>
        <v>2.679328013792255E-3</v>
      </c>
      <c r="BK290" s="284">
        <f t="shared" si="332"/>
        <v>1.8039387303600364E-2</v>
      </c>
      <c r="BL290" s="284">
        <f t="shared" si="332"/>
        <v>1.5360059289808112E-2</v>
      </c>
      <c r="BM290" s="284">
        <f t="shared" si="332"/>
        <v>1.5360059289808112E-2</v>
      </c>
      <c r="BN290" s="284">
        <f t="shared" si="332"/>
        <v>0</v>
      </c>
      <c r="BO290" s="297">
        <f t="shared" si="331"/>
        <v>1</v>
      </c>
      <c r="BP290" s="66"/>
      <c r="BQ290" s="66"/>
    </row>
    <row r="292" spans="1:69" s="152" customFormat="1" ht="14">
      <c r="A292" s="153" t="s">
        <v>156</v>
      </c>
    </row>
    <row r="293" spans="1:69" s="152" customFormat="1" ht="14" outlineLevel="1">
      <c r="A293" s="153" t="s">
        <v>157</v>
      </c>
    </row>
    <row r="294" spans="1:69" s="152" customFormat="1" ht="14" outlineLevel="1">
      <c r="A294" s="154" t="s">
        <v>158</v>
      </c>
      <c r="B294" s="288"/>
      <c r="C294" s="288">
        <f>SUM(D294:BQ294)</f>
        <v>-1943994.4</v>
      </c>
      <c r="D294" s="154">
        <f>+D252</f>
        <v>-1943994.4</v>
      </c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  <c r="V294" s="154"/>
      <c r="W294" s="154"/>
      <c r="X294" s="154"/>
      <c r="Y294" s="154"/>
      <c r="Z294" s="154"/>
      <c r="AA294" s="154"/>
      <c r="AB294" s="154"/>
      <c r="AC294" s="154"/>
      <c r="AD294" s="154"/>
      <c r="AE294" s="154"/>
      <c r="AF294" s="154"/>
      <c r="AG294" s="154"/>
      <c r="AH294" s="154"/>
      <c r="AI294" s="154"/>
      <c r="AJ294" s="154"/>
      <c r="AK294" s="154"/>
      <c r="AL294" s="154"/>
      <c r="AM294" s="154"/>
      <c r="AN294" s="154"/>
      <c r="AO294" s="154"/>
      <c r="AP294" s="154"/>
      <c r="AQ294" s="154"/>
      <c r="AR294" s="154"/>
      <c r="AS294" s="154"/>
      <c r="AT294" s="154"/>
      <c r="AU294" s="154"/>
      <c r="AV294" s="154"/>
      <c r="AW294" s="154"/>
      <c r="AX294" s="154"/>
      <c r="AY294" s="154"/>
      <c r="AZ294" s="154"/>
      <c r="BA294" s="154"/>
      <c r="BB294" s="154"/>
      <c r="BC294" s="154"/>
      <c r="BD294" s="154"/>
      <c r="BE294" s="154"/>
      <c r="BF294" s="154"/>
      <c r="BG294" s="154"/>
      <c r="BH294" s="154"/>
      <c r="BI294" s="154"/>
      <c r="BJ294" s="154"/>
      <c r="BK294" s="154"/>
      <c r="BL294" s="154"/>
      <c r="BM294" s="154"/>
      <c r="BN294" s="154"/>
    </row>
    <row r="295" spans="1:69" s="152" customFormat="1" ht="14" outlineLevel="1">
      <c r="A295" s="155" t="s">
        <v>159</v>
      </c>
      <c r="B295" s="360">
        <v>0.23</v>
      </c>
      <c r="C295" s="289">
        <f>SUM(D295:BQ295)</f>
        <v>7204050.5058380766</v>
      </c>
      <c r="D295" s="155">
        <f>+$B$295*D217</f>
        <v>0</v>
      </c>
      <c r="E295" s="155">
        <f t="shared" ref="E295:BK295" si="333">+$B$295*E217</f>
        <v>0</v>
      </c>
      <c r="F295" s="155">
        <f t="shared" si="333"/>
        <v>0</v>
      </c>
      <c r="G295" s="155">
        <f t="shared" si="333"/>
        <v>0</v>
      </c>
      <c r="H295" s="155">
        <f t="shared" si="333"/>
        <v>0</v>
      </c>
      <c r="I295" s="155">
        <f t="shared" si="333"/>
        <v>0</v>
      </c>
      <c r="J295" s="155">
        <f t="shared" si="333"/>
        <v>0</v>
      </c>
      <c r="K295" s="155">
        <f t="shared" si="333"/>
        <v>159057.48229479001</v>
      </c>
      <c r="L295" s="155">
        <f t="shared" si="333"/>
        <v>126874.60121805566</v>
      </c>
      <c r="M295" s="155">
        <f t="shared" si="333"/>
        <v>116825.49040263431</v>
      </c>
      <c r="N295" s="155">
        <f t="shared" si="333"/>
        <v>94319.435931471322</v>
      </c>
      <c r="O295" s="155">
        <f t="shared" si="333"/>
        <v>92684.201807842983</v>
      </c>
      <c r="P295" s="155">
        <f t="shared" si="333"/>
        <v>98420.574534789397</v>
      </c>
      <c r="Q295" s="155">
        <f t="shared" si="333"/>
        <v>84039.725380942749</v>
      </c>
      <c r="R295" s="155">
        <f t="shared" si="333"/>
        <v>88299.207807496292</v>
      </c>
      <c r="S295" s="155">
        <f t="shared" si="333"/>
        <v>92177.940718103215</v>
      </c>
      <c r="T295" s="155">
        <f t="shared" si="333"/>
        <v>82571.004944715489</v>
      </c>
      <c r="U295" s="155">
        <f t="shared" si="333"/>
        <v>86142.052438168335</v>
      </c>
      <c r="V295" s="155">
        <f t="shared" si="333"/>
        <v>89876.400392261014</v>
      </c>
      <c r="W295" s="155">
        <f t="shared" si="333"/>
        <v>86671.563732046183</v>
      </c>
      <c r="X295" s="155">
        <f t="shared" si="333"/>
        <v>90100.385336744817</v>
      </c>
      <c r="Y295" s="155">
        <f t="shared" si="333"/>
        <v>93362.660073049905</v>
      </c>
      <c r="Z295" s="155">
        <f t="shared" si="333"/>
        <v>98303.494199343884</v>
      </c>
      <c r="AA295" s="155">
        <f t="shared" si="333"/>
        <v>102067.04455478278</v>
      </c>
      <c r="AB295" s="155">
        <f t="shared" si="333"/>
        <v>106047.15116817203</v>
      </c>
      <c r="AC295" s="155">
        <f t="shared" si="333"/>
        <v>111785.60163487363</v>
      </c>
      <c r="AD295" s="155">
        <f t="shared" si="333"/>
        <v>116472.9207473471</v>
      </c>
      <c r="AE295" s="155">
        <f t="shared" si="333"/>
        <v>121499.67671732837</v>
      </c>
      <c r="AF295" s="155">
        <f t="shared" si="333"/>
        <v>128438.92602617361</v>
      </c>
      <c r="AG295" s="155">
        <f t="shared" si="333"/>
        <v>134572.15886183709</v>
      </c>
      <c r="AH295" s="155">
        <f t="shared" si="333"/>
        <v>141317.44421350939</v>
      </c>
      <c r="AI295" s="155">
        <f t="shared" si="333"/>
        <v>139762.384090776</v>
      </c>
      <c r="AJ295" s="155">
        <f t="shared" si="333"/>
        <v>146412.43073576412</v>
      </c>
      <c r="AK295" s="155">
        <f t="shared" si="333"/>
        <v>154191.72003843755</v>
      </c>
      <c r="AL295" s="155">
        <f t="shared" si="333"/>
        <v>164867.80616020755</v>
      </c>
      <c r="AM295" s="155">
        <f t="shared" si="333"/>
        <v>178156.93388334167</v>
      </c>
      <c r="AN295" s="155">
        <f t="shared" si="333"/>
        <v>385682.38789194968</v>
      </c>
      <c r="AO295" s="155">
        <f t="shared" si="333"/>
        <v>329708.18282065989</v>
      </c>
      <c r="AP295" s="155">
        <f t="shared" si="333"/>
        <v>335980.64448251319</v>
      </c>
      <c r="AQ295" s="155">
        <f t="shared" si="333"/>
        <v>159084.40265337555</v>
      </c>
      <c r="AR295" s="155">
        <f t="shared" si="333"/>
        <v>168439.01173305576</v>
      </c>
      <c r="AS295" s="155">
        <f t="shared" si="333"/>
        <v>170032.12538723068</v>
      </c>
      <c r="AT295" s="155">
        <f t="shared" si="333"/>
        <v>376954.91329080868</v>
      </c>
      <c r="AU295" s="155">
        <f t="shared" si="333"/>
        <v>311893.3210069036</v>
      </c>
      <c r="AV295" s="155">
        <f t="shared" si="333"/>
        <v>315057.7962354538</v>
      </c>
      <c r="AW295" s="155">
        <f t="shared" si="333"/>
        <v>97415.067951270757</v>
      </c>
      <c r="AX295" s="155">
        <f t="shared" si="333"/>
        <v>67511.985904087429</v>
      </c>
      <c r="AY295" s="155">
        <f t="shared" si="333"/>
        <v>67511.985904087429</v>
      </c>
      <c r="AZ295" s="155">
        <f t="shared" si="333"/>
        <v>260236.07255070534</v>
      </c>
      <c r="BA295" s="155">
        <f t="shared" si="333"/>
        <v>212026.10097968418</v>
      </c>
      <c r="BB295" s="155">
        <f t="shared" si="333"/>
        <v>212026.10097968418</v>
      </c>
      <c r="BC295" s="155">
        <f t="shared" si="333"/>
        <v>19302.014333066225</v>
      </c>
      <c r="BD295" s="155">
        <f t="shared" si="333"/>
        <v>19302.014333066225</v>
      </c>
      <c r="BE295" s="155">
        <f t="shared" si="333"/>
        <v>19302.014333066225</v>
      </c>
      <c r="BF295" s="155">
        <f t="shared" si="333"/>
        <v>129956.65722951118</v>
      </c>
      <c r="BG295" s="155">
        <f t="shared" si="333"/>
        <v>110654.64289644496</v>
      </c>
      <c r="BH295" s="155">
        <f t="shared" si="333"/>
        <v>110654.64289644496</v>
      </c>
      <c r="BI295" s="155">
        <f t="shared" si="333"/>
        <v>0</v>
      </c>
      <c r="BJ295" s="155">
        <f t="shared" si="333"/>
        <v>0</v>
      </c>
      <c r="BK295" s="155">
        <f t="shared" si="333"/>
        <v>0</v>
      </c>
      <c r="BL295" s="155">
        <f t="shared" ref="BL295:BN295" si="334">+$B$295*BL217</f>
        <v>0</v>
      </c>
      <c r="BM295" s="155">
        <f t="shared" si="334"/>
        <v>0</v>
      </c>
      <c r="BN295" s="155">
        <f t="shared" si="334"/>
        <v>0</v>
      </c>
    </row>
    <row r="296" spans="1:69" s="153" customFormat="1" outlineLevel="1" thickBot="1">
      <c r="A296" s="285" t="s">
        <v>2</v>
      </c>
      <c r="B296" s="290">
        <f>+C295/-C294</f>
        <v>3.705797972380001</v>
      </c>
      <c r="C296" s="291">
        <f>SUM(D296:BQ296)</f>
        <v>5260056.1058380753</v>
      </c>
      <c r="D296" s="285">
        <f>+D295+D294</f>
        <v>-1943994.4</v>
      </c>
      <c r="E296" s="285">
        <f t="shared" ref="E296:AZ296" si="335">+E295+E294</f>
        <v>0</v>
      </c>
      <c r="F296" s="285">
        <f t="shared" si="335"/>
        <v>0</v>
      </c>
      <c r="G296" s="285">
        <f t="shared" si="335"/>
        <v>0</v>
      </c>
      <c r="H296" s="285">
        <f t="shared" si="335"/>
        <v>0</v>
      </c>
      <c r="I296" s="285">
        <f t="shared" si="335"/>
        <v>0</v>
      </c>
      <c r="J296" s="285">
        <f t="shared" si="335"/>
        <v>0</v>
      </c>
      <c r="K296" s="285">
        <f t="shared" si="335"/>
        <v>159057.48229479001</v>
      </c>
      <c r="L296" s="285">
        <f t="shared" si="335"/>
        <v>126874.60121805566</v>
      </c>
      <c r="M296" s="285">
        <f t="shared" si="335"/>
        <v>116825.49040263431</v>
      </c>
      <c r="N296" s="285">
        <f t="shared" si="335"/>
        <v>94319.435931471322</v>
      </c>
      <c r="O296" s="285">
        <f t="shared" si="335"/>
        <v>92684.201807842983</v>
      </c>
      <c r="P296" s="285">
        <f t="shared" si="335"/>
        <v>98420.574534789397</v>
      </c>
      <c r="Q296" s="285">
        <f t="shared" si="335"/>
        <v>84039.725380942749</v>
      </c>
      <c r="R296" s="285">
        <f t="shared" si="335"/>
        <v>88299.207807496292</v>
      </c>
      <c r="S296" s="285">
        <f t="shared" si="335"/>
        <v>92177.940718103215</v>
      </c>
      <c r="T296" s="285">
        <f t="shared" si="335"/>
        <v>82571.004944715489</v>
      </c>
      <c r="U296" s="285">
        <f t="shared" si="335"/>
        <v>86142.052438168335</v>
      </c>
      <c r="V296" s="285">
        <f t="shared" si="335"/>
        <v>89876.400392261014</v>
      </c>
      <c r="W296" s="285">
        <f t="shared" si="335"/>
        <v>86671.563732046183</v>
      </c>
      <c r="X296" s="285">
        <f t="shared" si="335"/>
        <v>90100.385336744817</v>
      </c>
      <c r="Y296" s="285">
        <f t="shared" si="335"/>
        <v>93362.660073049905</v>
      </c>
      <c r="Z296" s="285">
        <f t="shared" si="335"/>
        <v>98303.494199343884</v>
      </c>
      <c r="AA296" s="285">
        <f t="shared" si="335"/>
        <v>102067.04455478278</v>
      </c>
      <c r="AB296" s="285">
        <f t="shared" si="335"/>
        <v>106047.15116817203</v>
      </c>
      <c r="AC296" s="285">
        <f t="shared" si="335"/>
        <v>111785.60163487363</v>
      </c>
      <c r="AD296" s="285">
        <f t="shared" si="335"/>
        <v>116472.9207473471</v>
      </c>
      <c r="AE296" s="285">
        <f t="shared" si="335"/>
        <v>121499.67671732837</v>
      </c>
      <c r="AF296" s="285">
        <f t="shared" si="335"/>
        <v>128438.92602617361</v>
      </c>
      <c r="AG296" s="285">
        <f t="shared" si="335"/>
        <v>134572.15886183709</v>
      </c>
      <c r="AH296" s="285">
        <f t="shared" si="335"/>
        <v>141317.44421350939</v>
      </c>
      <c r="AI296" s="285">
        <f t="shared" si="335"/>
        <v>139762.384090776</v>
      </c>
      <c r="AJ296" s="285">
        <f t="shared" si="335"/>
        <v>146412.43073576412</v>
      </c>
      <c r="AK296" s="285">
        <f t="shared" si="335"/>
        <v>154191.72003843755</v>
      </c>
      <c r="AL296" s="285">
        <f t="shared" si="335"/>
        <v>164867.80616020755</v>
      </c>
      <c r="AM296" s="285">
        <f t="shared" si="335"/>
        <v>178156.93388334167</v>
      </c>
      <c r="AN296" s="285">
        <f t="shared" si="335"/>
        <v>385682.38789194968</v>
      </c>
      <c r="AO296" s="285">
        <f t="shared" si="335"/>
        <v>329708.18282065989</v>
      </c>
      <c r="AP296" s="285">
        <f t="shared" si="335"/>
        <v>335980.64448251319</v>
      </c>
      <c r="AQ296" s="285">
        <f t="shared" si="335"/>
        <v>159084.40265337555</v>
      </c>
      <c r="AR296" s="285">
        <f t="shared" si="335"/>
        <v>168439.01173305576</v>
      </c>
      <c r="AS296" s="285">
        <f t="shared" si="335"/>
        <v>170032.12538723068</v>
      </c>
      <c r="AT296" s="285">
        <f t="shared" si="335"/>
        <v>376954.91329080868</v>
      </c>
      <c r="AU296" s="285">
        <f t="shared" si="335"/>
        <v>311893.3210069036</v>
      </c>
      <c r="AV296" s="285">
        <f t="shared" si="335"/>
        <v>315057.7962354538</v>
      </c>
      <c r="AW296" s="285">
        <f t="shared" si="335"/>
        <v>97415.067951270757</v>
      </c>
      <c r="AX296" s="285">
        <f t="shared" si="335"/>
        <v>67511.985904087429</v>
      </c>
      <c r="AY296" s="285">
        <f t="shared" si="335"/>
        <v>67511.985904087429</v>
      </c>
      <c r="AZ296" s="285">
        <f t="shared" si="335"/>
        <v>260236.07255070534</v>
      </c>
      <c r="BA296" s="285">
        <f t="shared" ref="BA296:BH296" si="336">+BA295+BA294</f>
        <v>212026.10097968418</v>
      </c>
      <c r="BB296" s="285">
        <f t="shared" si="336"/>
        <v>212026.10097968418</v>
      </c>
      <c r="BC296" s="285">
        <f t="shared" si="336"/>
        <v>19302.014333066225</v>
      </c>
      <c r="BD296" s="285">
        <f t="shared" si="336"/>
        <v>19302.014333066225</v>
      </c>
      <c r="BE296" s="285">
        <f t="shared" si="336"/>
        <v>19302.014333066225</v>
      </c>
      <c r="BF296" s="285">
        <f t="shared" si="336"/>
        <v>129956.65722951118</v>
      </c>
      <c r="BG296" s="285">
        <f t="shared" si="336"/>
        <v>110654.64289644496</v>
      </c>
      <c r="BH296" s="285">
        <f t="shared" si="336"/>
        <v>110654.64289644496</v>
      </c>
      <c r="BI296" s="285">
        <f t="shared" ref="BI296:BK296" si="337">+BI295+BI294</f>
        <v>0</v>
      </c>
      <c r="BJ296" s="285">
        <f t="shared" si="337"/>
        <v>0</v>
      </c>
      <c r="BK296" s="285">
        <f t="shared" si="337"/>
        <v>0</v>
      </c>
      <c r="BL296" s="285">
        <f t="shared" ref="BL296:BN296" si="338">+BL295+BL294</f>
        <v>0</v>
      </c>
      <c r="BM296" s="285">
        <f t="shared" si="338"/>
        <v>0</v>
      </c>
      <c r="BN296" s="285">
        <f t="shared" si="338"/>
        <v>0</v>
      </c>
    </row>
    <row r="297" spans="1:69" s="169" customFormat="1" outlineLevel="1" thickTop="1">
      <c r="A297" s="169" t="s">
        <v>10</v>
      </c>
      <c r="D297" s="169">
        <f>+D296</f>
        <v>-1943994.4</v>
      </c>
      <c r="E297" s="169">
        <f>+D297+E296</f>
        <v>-1943994.4</v>
      </c>
      <c r="F297" s="169">
        <f t="shared" ref="F297:AZ297" si="339">+E297+F296</f>
        <v>-1943994.4</v>
      </c>
      <c r="G297" s="169">
        <f t="shared" si="339"/>
        <v>-1943994.4</v>
      </c>
      <c r="H297" s="169">
        <f t="shared" si="339"/>
        <v>-1943994.4</v>
      </c>
      <c r="I297" s="169">
        <f t="shared" si="339"/>
        <v>-1943994.4</v>
      </c>
      <c r="J297" s="169">
        <f t="shared" si="339"/>
        <v>-1943994.4</v>
      </c>
      <c r="K297" s="169">
        <f t="shared" si="339"/>
        <v>-1784936.9177052099</v>
      </c>
      <c r="L297" s="169">
        <f t="shared" si="339"/>
        <v>-1658062.3164871542</v>
      </c>
      <c r="M297" s="169">
        <f t="shared" si="339"/>
        <v>-1541236.82608452</v>
      </c>
      <c r="N297" s="169">
        <f t="shared" si="339"/>
        <v>-1446917.3901530486</v>
      </c>
      <c r="O297" s="169">
        <f t="shared" si="339"/>
        <v>-1354233.1883452055</v>
      </c>
      <c r="P297" s="169">
        <f t="shared" si="339"/>
        <v>-1255812.6138104161</v>
      </c>
      <c r="Q297" s="169">
        <f t="shared" si="339"/>
        <v>-1171772.8884294734</v>
      </c>
      <c r="R297" s="169">
        <f t="shared" si="339"/>
        <v>-1083473.6806219772</v>
      </c>
      <c r="S297" s="169">
        <f t="shared" si="339"/>
        <v>-991295.739903874</v>
      </c>
      <c r="T297" s="169">
        <f t="shared" si="339"/>
        <v>-908724.73495915846</v>
      </c>
      <c r="U297" s="169">
        <f t="shared" si="339"/>
        <v>-822582.68252099014</v>
      </c>
      <c r="V297" s="169">
        <f t="shared" si="339"/>
        <v>-732706.28212872916</v>
      </c>
      <c r="W297" s="169">
        <f t="shared" si="339"/>
        <v>-646034.71839668299</v>
      </c>
      <c r="X297" s="169">
        <f t="shared" si="339"/>
        <v>-555934.33305993816</v>
      </c>
      <c r="Y297" s="169">
        <f t="shared" si="339"/>
        <v>-462571.67298688827</v>
      </c>
      <c r="Z297" s="169">
        <f t="shared" si="339"/>
        <v>-364268.17878754437</v>
      </c>
      <c r="AA297" s="169">
        <f t="shared" si="339"/>
        <v>-262201.13423276157</v>
      </c>
      <c r="AB297" s="169">
        <f t="shared" si="339"/>
        <v>-156153.98306458956</v>
      </c>
      <c r="AC297" s="169">
        <f t="shared" si="339"/>
        <v>-44368.381429715926</v>
      </c>
      <c r="AD297" s="169">
        <f t="shared" si="339"/>
        <v>72104.539317631177</v>
      </c>
      <c r="AE297" s="169">
        <f t="shared" si="339"/>
        <v>193604.21603495954</v>
      </c>
      <c r="AF297" s="169">
        <f t="shared" si="339"/>
        <v>322043.14206113317</v>
      </c>
      <c r="AG297" s="169">
        <f t="shared" si="339"/>
        <v>456615.30092297029</v>
      </c>
      <c r="AH297" s="169">
        <f t="shared" si="339"/>
        <v>597932.74513647961</v>
      </c>
      <c r="AI297" s="169">
        <f t="shared" si="339"/>
        <v>737695.12922725559</v>
      </c>
      <c r="AJ297" s="169">
        <f t="shared" si="339"/>
        <v>884107.55996301968</v>
      </c>
      <c r="AK297" s="169">
        <f t="shared" si="339"/>
        <v>1038299.2800014572</v>
      </c>
      <c r="AL297" s="169">
        <f t="shared" si="339"/>
        <v>1203167.0861616647</v>
      </c>
      <c r="AM297" s="169">
        <f t="shared" si="339"/>
        <v>1381324.0200450064</v>
      </c>
      <c r="AN297" s="169">
        <f t="shared" si="339"/>
        <v>1767006.407936956</v>
      </c>
      <c r="AO297" s="169">
        <f t="shared" si="339"/>
        <v>2096714.5907576159</v>
      </c>
      <c r="AP297" s="169">
        <f t="shared" si="339"/>
        <v>2432695.2352401288</v>
      </c>
      <c r="AQ297" s="169">
        <f t="shared" si="339"/>
        <v>2591779.6378935045</v>
      </c>
      <c r="AR297" s="169">
        <f t="shared" si="339"/>
        <v>2760218.64962656</v>
      </c>
      <c r="AS297" s="169">
        <f t="shared" si="339"/>
        <v>2930250.7750137909</v>
      </c>
      <c r="AT297" s="169">
        <f t="shared" si="339"/>
        <v>3307205.6883045994</v>
      </c>
      <c r="AU297" s="169">
        <f t="shared" si="339"/>
        <v>3619099.0093115028</v>
      </c>
      <c r="AV297" s="169">
        <f t="shared" si="339"/>
        <v>3934156.8055469566</v>
      </c>
      <c r="AW297" s="169">
        <f t="shared" si="339"/>
        <v>4031571.8734982274</v>
      </c>
      <c r="AX297" s="169">
        <f t="shared" si="339"/>
        <v>4099083.8594023148</v>
      </c>
      <c r="AY297" s="169">
        <f t="shared" si="339"/>
        <v>4166595.8453064021</v>
      </c>
      <c r="AZ297" s="169">
        <f t="shared" si="339"/>
        <v>4426831.9178571077</v>
      </c>
      <c r="BA297" s="169">
        <f t="shared" ref="BA297" si="340">+AZ297+BA296</f>
        <v>4638858.0188367916</v>
      </c>
      <c r="BB297" s="169">
        <f t="shared" ref="BB297" si="341">+BA297+BB296</f>
        <v>4850884.1198164755</v>
      </c>
      <c r="BC297" s="169">
        <f t="shared" ref="BC297" si="342">+BB297+BC296</f>
        <v>4870186.1341495421</v>
      </c>
      <c r="BD297" s="169">
        <f t="shared" ref="BD297" si="343">+BC297+BD296</f>
        <v>4889488.1484826086</v>
      </c>
      <c r="BE297" s="169">
        <f t="shared" ref="BE297" si="344">+BD297+BE296</f>
        <v>4908790.1628156751</v>
      </c>
      <c r="BF297" s="169">
        <f t="shared" ref="BF297" si="345">+BE297+BF296</f>
        <v>5038746.8200451862</v>
      </c>
      <c r="BG297" s="169">
        <f t="shared" ref="BG297" si="346">+BF297+BG296</f>
        <v>5149401.4629416307</v>
      </c>
      <c r="BH297" s="169">
        <f t="shared" ref="BH297" si="347">+BG297+BH296</f>
        <v>5260056.1058380753</v>
      </c>
      <c r="BI297" s="169">
        <f t="shared" ref="BI297" si="348">+BH297+BI296</f>
        <v>5260056.1058380753</v>
      </c>
      <c r="BJ297" s="169">
        <f t="shared" ref="BJ297" si="349">+BI297+BJ296</f>
        <v>5260056.1058380753</v>
      </c>
      <c r="BK297" s="169">
        <f t="shared" ref="BK297" si="350">+BJ297+BK296</f>
        <v>5260056.1058380753</v>
      </c>
      <c r="BL297" s="169">
        <f t="shared" ref="BL297" si="351">+BK297+BL296</f>
        <v>5260056.1058380753</v>
      </c>
      <c r="BM297" s="169">
        <f t="shared" ref="BM297" si="352">+BL297+BM296</f>
        <v>5260056.1058380753</v>
      </c>
      <c r="BN297" s="169">
        <f t="shared" ref="BN297" si="353">+BM297+BN296</f>
        <v>5260056.1058380753</v>
      </c>
    </row>
    <row r="298" spans="1:69" s="286" customFormat="1" ht="14" outlineLevel="1"/>
    <row r="299" spans="1:69" s="287" customFormat="1" ht="14" outlineLevel="1">
      <c r="A299" s="292" t="s">
        <v>48</v>
      </c>
      <c r="B299" s="292"/>
      <c r="C299" s="293">
        <f>(1+IRR(D296:BN296,0.01))^12-1</f>
        <v>0.69718131507826575</v>
      </c>
    </row>
    <row r="300" spans="1:69" s="286" customFormat="1" ht="14" outlineLevel="1">
      <c r="A300" s="294" t="s">
        <v>98</v>
      </c>
      <c r="B300" s="294" t="s">
        <v>267</v>
      </c>
      <c r="C300" s="294">
        <f>+C296</f>
        <v>5260056.1058380753</v>
      </c>
    </row>
    <row r="301" spans="1:69" s="286" customFormat="1" ht="14" outlineLevel="1">
      <c r="A301" s="294" t="s">
        <v>160</v>
      </c>
      <c r="B301" s="294" t="s">
        <v>267</v>
      </c>
      <c r="C301" s="294">
        <f>+MIN(D297:BN297)</f>
        <v>-1943994.4</v>
      </c>
    </row>
    <row r="302" spans="1:69" s="286" customFormat="1" ht="14" outlineLevel="1">
      <c r="A302" s="294" t="s">
        <v>161</v>
      </c>
      <c r="B302" s="294"/>
      <c r="C302" s="315">
        <v>38</v>
      </c>
    </row>
    <row r="303" spans="1:69" s="286" customFormat="1" ht="14" outlineLevel="1">
      <c r="A303" s="295" t="s">
        <v>272</v>
      </c>
      <c r="B303" s="295"/>
      <c r="C303" s="295">
        <f>+C295/'Resid - Datos'!E8/'Resid - Datos'!O7</f>
        <v>418.49950655501783</v>
      </c>
    </row>
    <row r="304" spans="1:69" s="286" customFormat="1" ht="14" outlineLevel="1"/>
    <row r="305" spans="1:69" s="286" customFormat="1" ht="14" outlineLevel="1"/>
    <row r="306" spans="1:69" s="152" customFormat="1" ht="14" outlineLevel="1">
      <c r="A306" s="153" t="s">
        <v>162</v>
      </c>
    </row>
    <row r="307" spans="1:69" s="152" customFormat="1" ht="14" outlineLevel="1">
      <c r="A307" s="154" t="s">
        <v>163</v>
      </c>
      <c r="B307" s="288"/>
      <c r="C307" s="288">
        <f>SUM(D307:BQ307)</f>
        <v>11640900.214993153</v>
      </c>
      <c r="D307" s="154"/>
      <c r="E307" s="154">
        <f t="shared" ref="E307:AJ307" si="354">+E252</f>
        <v>-41703.288267251046</v>
      </c>
      <c r="F307" s="154">
        <f t="shared" si="354"/>
        <v>-90852.642457293288</v>
      </c>
      <c r="G307" s="154">
        <f t="shared" si="354"/>
        <v>-90852.642457293288</v>
      </c>
      <c r="H307" s="154">
        <f t="shared" si="354"/>
        <v>-110217.3081733968</v>
      </c>
      <c r="I307" s="154">
        <f t="shared" si="354"/>
        <v>-110217.3081733968</v>
      </c>
      <c r="J307" s="154">
        <f t="shared" si="354"/>
        <v>-68828.378329150684</v>
      </c>
      <c r="K307" s="154">
        <f t="shared" si="354"/>
        <v>607112.97559915297</v>
      </c>
      <c r="L307" s="154">
        <f t="shared" si="354"/>
        <v>388052.85294131038</v>
      </c>
      <c r="M307" s="154">
        <f t="shared" si="354"/>
        <v>433049.52741011896</v>
      </c>
      <c r="N307" s="154">
        <f t="shared" si="354"/>
        <v>190204.43718013758</v>
      </c>
      <c r="O307" s="154">
        <f t="shared" si="354"/>
        <v>89283.402544492827</v>
      </c>
      <c r="P307" s="154">
        <f t="shared" si="354"/>
        <v>200391.34408536225</v>
      </c>
      <c r="Q307" s="154">
        <f t="shared" si="354"/>
        <v>146585.66717813534</v>
      </c>
      <c r="R307" s="154">
        <f t="shared" si="354"/>
        <v>164106.65438119241</v>
      </c>
      <c r="S307" s="154">
        <f t="shared" si="354"/>
        <v>186354.86269791858</v>
      </c>
      <c r="T307" s="154">
        <f t="shared" si="354"/>
        <v>132302.29299511574</v>
      </c>
      <c r="U307" s="154">
        <f t="shared" si="354"/>
        <v>199577.27985892972</v>
      </c>
      <c r="V307" s="154">
        <f t="shared" si="354"/>
        <v>196786.38648291698</v>
      </c>
      <c r="W307" s="154">
        <f t="shared" si="354"/>
        <v>167332.3010760053</v>
      </c>
      <c r="X307" s="154">
        <f t="shared" si="354"/>
        <v>163294.76498288699</v>
      </c>
      <c r="Y307" s="154">
        <f t="shared" si="354"/>
        <v>87563.857197621706</v>
      </c>
      <c r="Z307" s="154">
        <f t="shared" si="354"/>
        <v>72106.549729674982</v>
      </c>
      <c r="AA307" s="154">
        <f t="shared" si="354"/>
        <v>51767.302395246901</v>
      </c>
      <c r="AB307" s="154">
        <f t="shared" si="354"/>
        <v>10752.353990091033</v>
      </c>
      <c r="AC307" s="154">
        <f t="shared" si="354"/>
        <v>16351.947359558362</v>
      </c>
      <c r="AD307" s="154">
        <f t="shared" si="354"/>
        <v>17182.395535053201</v>
      </c>
      <c r="AE307" s="154">
        <f t="shared" si="354"/>
        <v>-62193.647336848073</v>
      </c>
      <c r="AF307" s="154">
        <f t="shared" si="354"/>
        <v>-71582.4863951968</v>
      </c>
      <c r="AG307" s="154">
        <f t="shared" si="354"/>
        <v>-63727.235344964582</v>
      </c>
      <c r="AH307" s="154">
        <f t="shared" si="354"/>
        <v>-182896.58453562512</v>
      </c>
      <c r="AI307" s="154">
        <f t="shared" si="354"/>
        <v>-186907.45110925846</v>
      </c>
      <c r="AJ307" s="154">
        <f t="shared" si="354"/>
        <v>-156270.69392172011</v>
      </c>
      <c r="AK307" s="154">
        <f t="shared" ref="AK307:BN307" si="355">+AK252</f>
        <v>-133942.50232716085</v>
      </c>
      <c r="AL307" s="154">
        <f t="shared" si="355"/>
        <v>-138713.95193810013</v>
      </c>
      <c r="AM307" s="154">
        <f t="shared" si="355"/>
        <v>-22455.24977633141</v>
      </c>
      <c r="AN307" s="154">
        <f t="shared" si="355"/>
        <v>1046331.7252454916</v>
      </c>
      <c r="AO307" s="154">
        <f t="shared" si="355"/>
        <v>817358.50264188892</v>
      </c>
      <c r="AP307" s="154">
        <f t="shared" si="355"/>
        <v>853672.11164446862</v>
      </c>
      <c r="AQ307" s="154">
        <f t="shared" si="355"/>
        <v>108848.1856707422</v>
      </c>
      <c r="AR307" s="154">
        <f t="shared" si="355"/>
        <v>118967.25934156089</v>
      </c>
      <c r="AS307" s="154">
        <f t="shared" si="355"/>
        <v>133435.41199131749</v>
      </c>
      <c r="AT307" s="154">
        <f t="shared" si="355"/>
        <v>1196474.9753496761</v>
      </c>
      <c r="AU307" s="154">
        <f t="shared" si="355"/>
        <v>933270.30157572369</v>
      </c>
      <c r="AV307" s="154">
        <f t="shared" si="355"/>
        <v>975762.48231410875</v>
      </c>
      <c r="AW307" s="154">
        <f t="shared" si="355"/>
        <v>71632.581476404652</v>
      </c>
      <c r="AX307" s="154">
        <f t="shared" si="355"/>
        <v>-80208.929680649817</v>
      </c>
      <c r="AY307" s="154">
        <f t="shared" si="355"/>
        <v>-73887.837441318276</v>
      </c>
      <c r="AZ307" s="154">
        <f t="shared" si="355"/>
        <v>942083.70910744648</v>
      </c>
      <c r="BA307" s="154">
        <f t="shared" si="355"/>
        <v>739478.43796023855</v>
      </c>
      <c r="BB307" s="154">
        <f t="shared" si="355"/>
        <v>749295.8217854324</v>
      </c>
      <c r="BC307" s="154">
        <f t="shared" si="355"/>
        <v>-51630.90863048529</v>
      </c>
      <c r="BD307" s="154">
        <f t="shared" si="355"/>
        <v>-63770.823415407169</v>
      </c>
      <c r="BE307" s="154">
        <f t="shared" si="355"/>
        <v>-77886.373291388154</v>
      </c>
      <c r="BF307" s="154">
        <f t="shared" si="355"/>
        <v>506547.66243927891</v>
      </c>
      <c r="BG307" s="154">
        <f t="shared" si="355"/>
        <v>398433.74549168174</v>
      </c>
      <c r="BH307" s="154">
        <f t="shared" si="355"/>
        <v>414936.38833900506</v>
      </c>
      <c r="BI307" s="154">
        <f t="shared" si="355"/>
        <v>-7042</v>
      </c>
      <c r="BJ307" s="154">
        <f t="shared" si="355"/>
        <v>0</v>
      </c>
      <c r="BK307" s="154">
        <f t="shared" si="355"/>
        <v>0</v>
      </c>
      <c r="BL307" s="154">
        <f t="shared" si="355"/>
        <v>0</v>
      </c>
      <c r="BM307" s="154">
        <f t="shared" si="355"/>
        <v>0</v>
      </c>
      <c r="BN307" s="154">
        <f t="shared" si="355"/>
        <v>0</v>
      </c>
    </row>
    <row r="308" spans="1:69" s="152" customFormat="1" ht="14" outlineLevel="1">
      <c r="A308" s="155" t="s">
        <v>164</v>
      </c>
      <c r="B308" s="289"/>
      <c r="C308" s="289">
        <f>SUM(D308:BQ308)</f>
        <v>-7204050.5058380766</v>
      </c>
      <c r="D308" s="155">
        <f>-D295</f>
        <v>0</v>
      </c>
      <c r="E308" s="155">
        <f t="shared" ref="E308" si="356">-E295</f>
        <v>0</v>
      </c>
      <c r="F308" s="155">
        <f t="shared" ref="F308:BD308" si="357">-F295</f>
        <v>0</v>
      </c>
      <c r="G308" s="155">
        <f t="shared" si="357"/>
        <v>0</v>
      </c>
      <c r="H308" s="155">
        <f t="shared" si="357"/>
        <v>0</v>
      </c>
      <c r="I308" s="155">
        <f t="shared" si="357"/>
        <v>0</v>
      </c>
      <c r="J308" s="155">
        <f t="shared" si="357"/>
        <v>0</v>
      </c>
      <c r="K308" s="155">
        <f t="shared" si="357"/>
        <v>-159057.48229479001</v>
      </c>
      <c r="L308" s="155">
        <f t="shared" si="357"/>
        <v>-126874.60121805566</v>
      </c>
      <c r="M308" s="155">
        <f t="shared" si="357"/>
        <v>-116825.49040263431</v>
      </c>
      <c r="N308" s="155">
        <f t="shared" si="357"/>
        <v>-94319.435931471322</v>
      </c>
      <c r="O308" s="155">
        <f t="shared" si="357"/>
        <v>-92684.201807842983</v>
      </c>
      <c r="P308" s="155">
        <f t="shared" si="357"/>
        <v>-98420.574534789397</v>
      </c>
      <c r="Q308" s="155">
        <f t="shared" si="357"/>
        <v>-84039.725380942749</v>
      </c>
      <c r="R308" s="155">
        <f t="shared" si="357"/>
        <v>-88299.207807496292</v>
      </c>
      <c r="S308" s="155">
        <f t="shared" si="357"/>
        <v>-92177.940718103215</v>
      </c>
      <c r="T308" s="155">
        <f t="shared" si="357"/>
        <v>-82571.004944715489</v>
      </c>
      <c r="U308" s="155">
        <f t="shared" si="357"/>
        <v>-86142.052438168335</v>
      </c>
      <c r="V308" s="155">
        <f t="shared" si="357"/>
        <v>-89876.400392261014</v>
      </c>
      <c r="W308" s="155">
        <f t="shared" si="357"/>
        <v>-86671.563732046183</v>
      </c>
      <c r="X308" s="155">
        <f t="shared" si="357"/>
        <v>-90100.385336744817</v>
      </c>
      <c r="Y308" s="155">
        <f t="shared" si="357"/>
        <v>-93362.660073049905</v>
      </c>
      <c r="Z308" s="155">
        <f t="shared" si="357"/>
        <v>-98303.494199343884</v>
      </c>
      <c r="AA308" s="155">
        <f t="shared" si="357"/>
        <v>-102067.04455478278</v>
      </c>
      <c r="AB308" s="155">
        <f t="shared" si="357"/>
        <v>-106047.15116817203</v>
      </c>
      <c r="AC308" s="155">
        <f t="shared" si="357"/>
        <v>-111785.60163487363</v>
      </c>
      <c r="AD308" s="155">
        <f t="shared" si="357"/>
        <v>-116472.9207473471</v>
      </c>
      <c r="AE308" s="155">
        <f t="shared" si="357"/>
        <v>-121499.67671732837</v>
      </c>
      <c r="AF308" s="155">
        <f t="shared" si="357"/>
        <v>-128438.92602617361</v>
      </c>
      <c r="AG308" s="155">
        <f t="shared" si="357"/>
        <v>-134572.15886183709</v>
      </c>
      <c r="AH308" s="155">
        <f t="shared" si="357"/>
        <v>-141317.44421350939</v>
      </c>
      <c r="AI308" s="155">
        <f t="shared" si="357"/>
        <v>-139762.384090776</v>
      </c>
      <c r="AJ308" s="155">
        <f t="shared" si="357"/>
        <v>-146412.43073576412</v>
      </c>
      <c r="AK308" s="155">
        <f t="shared" si="357"/>
        <v>-154191.72003843755</v>
      </c>
      <c r="AL308" s="155">
        <f t="shared" si="357"/>
        <v>-164867.80616020755</v>
      </c>
      <c r="AM308" s="155">
        <f t="shared" si="357"/>
        <v>-178156.93388334167</v>
      </c>
      <c r="AN308" s="155">
        <f t="shared" si="357"/>
        <v>-385682.38789194968</v>
      </c>
      <c r="AO308" s="155">
        <f t="shared" si="357"/>
        <v>-329708.18282065989</v>
      </c>
      <c r="AP308" s="155">
        <f t="shared" si="357"/>
        <v>-335980.64448251319</v>
      </c>
      <c r="AQ308" s="155">
        <f t="shared" si="357"/>
        <v>-159084.40265337555</v>
      </c>
      <c r="AR308" s="155">
        <f t="shared" si="357"/>
        <v>-168439.01173305576</v>
      </c>
      <c r="AS308" s="155">
        <f t="shared" si="357"/>
        <v>-170032.12538723068</v>
      </c>
      <c r="AT308" s="155">
        <f t="shared" si="357"/>
        <v>-376954.91329080868</v>
      </c>
      <c r="AU308" s="155">
        <f t="shared" si="357"/>
        <v>-311893.3210069036</v>
      </c>
      <c r="AV308" s="155">
        <f t="shared" si="357"/>
        <v>-315057.7962354538</v>
      </c>
      <c r="AW308" s="155">
        <f t="shared" si="357"/>
        <v>-97415.067951270757</v>
      </c>
      <c r="AX308" s="155">
        <f t="shared" si="357"/>
        <v>-67511.985904087429</v>
      </c>
      <c r="AY308" s="155">
        <f t="shared" si="357"/>
        <v>-67511.985904087429</v>
      </c>
      <c r="AZ308" s="155">
        <f t="shared" si="357"/>
        <v>-260236.07255070534</v>
      </c>
      <c r="BA308" s="155">
        <f t="shared" si="357"/>
        <v>-212026.10097968418</v>
      </c>
      <c r="BB308" s="155">
        <f t="shared" si="357"/>
        <v>-212026.10097968418</v>
      </c>
      <c r="BC308" s="155">
        <f t="shared" si="357"/>
        <v>-19302.014333066225</v>
      </c>
      <c r="BD308" s="155">
        <f t="shared" si="357"/>
        <v>-19302.014333066225</v>
      </c>
      <c r="BE308" s="155">
        <f t="shared" ref="BE308:BK308" si="358">-BE295</f>
        <v>-19302.014333066225</v>
      </c>
      <c r="BF308" s="155">
        <f t="shared" si="358"/>
        <v>-129956.65722951118</v>
      </c>
      <c r="BG308" s="155">
        <f t="shared" si="358"/>
        <v>-110654.64289644496</v>
      </c>
      <c r="BH308" s="155">
        <f t="shared" si="358"/>
        <v>-110654.64289644496</v>
      </c>
      <c r="BI308" s="155">
        <f t="shared" si="358"/>
        <v>0</v>
      </c>
      <c r="BJ308" s="155">
        <f t="shared" si="358"/>
        <v>0</v>
      </c>
      <c r="BK308" s="155">
        <f t="shared" si="358"/>
        <v>0</v>
      </c>
      <c r="BL308" s="155">
        <f t="shared" ref="BL308:BN308" si="359">-BL295</f>
        <v>0</v>
      </c>
      <c r="BM308" s="155">
        <f t="shared" si="359"/>
        <v>0</v>
      </c>
      <c r="BN308" s="155">
        <f t="shared" si="359"/>
        <v>0</v>
      </c>
    </row>
    <row r="309" spans="1:69" s="153" customFormat="1" outlineLevel="1" thickBot="1">
      <c r="A309" s="285" t="s">
        <v>2</v>
      </c>
      <c r="B309" s="291"/>
      <c r="C309" s="291">
        <f>SUM(D309:BQ309)</f>
        <v>4436849.7091550753</v>
      </c>
      <c r="D309" s="285">
        <f>+D308+D307</f>
        <v>0</v>
      </c>
      <c r="E309" s="285">
        <f t="shared" ref="E309" si="360">+E308+E307</f>
        <v>-41703.288267251046</v>
      </c>
      <c r="F309" s="285">
        <f t="shared" ref="F309:BD309" si="361">+F308+F307</f>
        <v>-90852.642457293288</v>
      </c>
      <c r="G309" s="285">
        <f t="shared" si="361"/>
        <v>-90852.642457293288</v>
      </c>
      <c r="H309" s="285">
        <f t="shared" si="361"/>
        <v>-110217.3081733968</v>
      </c>
      <c r="I309" s="285">
        <f t="shared" si="361"/>
        <v>-110217.3081733968</v>
      </c>
      <c r="J309" s="285">
        <f t="shared" si="361"/>
        <v>-68828.378329150684</v>
      </c>
      <c r="K309" s="285">
        <f t="shared" si="361"/>
        <v>448055.49330436299</v>
      </c>
      <c r="L309" s="285">
        <f t="shared" si="361"/>
        <v>261178.25172325474</v>
      </c>
      <c r="M309" s="285">
        <f t="shared" si="361"/>
        <v>316224.03700748464</v>
      </c>
      <c r="N309" s="285">
        <f t="shared" si="361"/>
        <v>95885.00124866626</v>
      </c>
      <c r="O309" s="285">
        <f t="shared" si="361"/>
        <v>-3400.7992633501563</v>
      </c>
      <c r="P309" s="285">
        <f t="shared" si="361"/>
        <v>101970.76955057285</v>
      </c>
      <c r="Q309" s="285">
        <f t="shared" si="361"/>
        <v>62545.941797192587</v>
      </c>
      <c r="R309" s="285">
        <f t="shared" si="361"/>
        <v>75807.446573696114</v>
      </c>
      <c r="S309" s="285">
        <f t="shared" si="361"/>
        <v>94176.921979815364</v>
      </c>
      <c r="T309" s="285">
        <f t="shared" si="361"/>
        <v>49731.288050400253</v>
      </c>
      <c r="U309" s="285">
        <f t="shared" si="361"/>
        <v>113435.22742076138</v>
      </c>
      <c r="V309" s="285">
        <f t="shared" si="361"/>
        <v>106909.98609065596</v>
      </c>
      <c r="W309" s="285">
        <f t="shared" si="361"/>
        <v>80660.737343959117</v>
      </c>
      <c r="X309" s="285">
        <f t="shared" si="361"/>
        <v>73194.379646142173</v>
      </c>
      <c r="Y309" s="285">
        <f t="shared" si="361"/>
        <v>-5798.8028754281986</v>
      </c>
      <c r="Z309" s="285">
        <f t="shared" si="361"/>
        <v>-26196.944469668902</v>
      </c>
      <c r="AA309" s="285">
        <f t="shared" si="361"/>
        <v>-50299.742159535883</v>
      </c>
      <c r="AB309" s="285">
        <f t="shared" si="361"/>
        <v>-95294.797178081004</v>
      </c>
      <c r="AC309" s="285">
        <f t="shared" si="361"/>
        <v>-95433.654275315261</v>
      </c>
      <c r="AD309" s="285">
        <f t="shared" si="361"/>
        <v>-99290.525212293898</v>
      </c>
      <c r="AE309" s="285">
        <f t="shared" si="361"/>
        <v>-183693.32405417645</v>
      </c>
      <c r="AF309" s="285">
        <f t="shared" si="361"/>
        <v>-200021.41242137039</v>
      </c>
      <c r="AG309" s="285">
        <f t="shared" si="361"/>
        <v>-198299.39420680166</v>
      </c>
      <c r="AH309" s="285">
        <f t="shared" si="361"/>
        <v>-324214.02874913451</v>
      </c>
      <c r="AI309" s="285">
        <f t="shared" si="361"/>
        <v>-326669.83520003443</v>
      </c>
      <c r="AJ309" s="285">
        <f t="shared" si="361"/>
        <v>-302683.12465748424</v>
      </c>
      <c r="AK309" s="285">
        <f t="shared" si="361"/>
        <v>-288134.22236559843</v>
      </c>
      <c r="AL309" s="285">
        <f t="shared" si="361"/>
        <v>-303581.75809830765</v>
      </c>
      <c r="AM309" s="285">
        <f t="shared" si="361"/>
        <v>-200612.18365967309</v>
      </c>
      <c r="AN309" s="285">
        <f t="shared" si="361"/>
        <v>660649.33735354198</v>
      </c>
      <c r="AO309" s="285">
        <f t="shared" si="361"/>
        <v>487650.31982122903</v>
      </c>
      <c r="AP309" s="285">
        <f t="shared" si="361"/>
        <v>517691.46716195543</v>
      </c>
      <c r="AQ309" s="285">
        <f t="shared" si="361"/>
        <v>-50236.216982633356</v>
      </c>
      <c r="AR309" s="285">
        <f t="shared" si="361"/>
        <v>-49471.752391494869</v>
      </c>
      <c r="AS309" s="285">
        <f t="shared" si="361"/>
        <v>-36596.71339591319</v>
      </c>
      <c r="AT309" s="285">
        <f t="shared" si="361"/>
        <v>819520.06205886742</v>
      </c>
      <c r="AU309" s="285">
        <f t="shared" si="361"/>
        <v>621376.98056882014</v>
      </c>
      <c r="AV309" s="285">
        <f t="shared" si="361"/>
        <v>660704.68607865495</v>
      </c>
      <c r="AW309" s="285">
        <f t="shared" si="361"/>
        <v>-25782.486474866106</v>
      </c>
      <c r="AX309" s="285">
        <f t="shared" si="361"/>
        <v>-147720.91558473726</v>
      </c>
      <c r="AY309" s="285">
        <f t="shared" si="361"/>
        <v>-141399.82334540569</v>
      </c>
      <c r="AZ309" s="285">
        <f t="shared" si="361"/>
        <v>681847.63655674108</v>
      </c>
      <c r="BA309" s="285">
        <f t="shared" si="361"/>
        <v>527452.33698055439</v>
      </c>
      <c r="BB309" s="285">
        <f t="shared" si="361"/>
        <v>537269.72080574825</v>
      </c>
      <c r="BC309" s="285">
        <f t="shared" si="361"/>
        <v>-70932.922963551508</v>
      </c>
      <c r="BD309" s="285">
        <f t="shared" si="361"/>
        <v>-83072.837748473394</v>
      </c>
      <c r="BE309" s="285">
        <f t="shared" ref="BE309:BK309" si="362">+BE308+BE307</f>
        <v>-97188.387624454379</v>
      </c>
      <c r="BF309" s="285">
        <f t="shared" si="362"/>
        <v>376591.00520976773</v>
      </c>
      <c r="BG309" s="285">
        <f t="shared" si="362"/>
        <v>287779.10259523679</v>
      </c>
      <c r="BH309" s="285">
        <f t="shared" si="362"/>
        <v>304281.74544256012</v>
      </c>
      <c r="BI309" s="285">
        <f t="shared" si="362"/>
        <v>-7042</v>
      </c>
      <c r="BJ309" s="285">
        <f t="shared" si="362"/>
        <v>0</v>
      </c>
      <c r="BK309" s="285">
        <f t="shared" si="362"/>
        <v>0</v>
      </c>
      <c r="BL309" s="285">
        <f t="shared" ref="BL309:BN309" si="363">+BL308+BL307</f>
        <v>0</v>
      </c>
      <c r="BM309" s="285">
        <f t="shared" si="363"/>
        <v>0</v>
      </c>
      <c r="BN309" s="285">
        <f t="shared" si="363"/>
        <v>0</v>
      </c>
    </row>
    <row r="310" spans="1:69" s="169" customFormat="1" outlineLevel="1" thickTop="1">
      <c r="A310" s="169" t="s">
        <v>10</v>
      </c>
      <c r="D310" s="169">
        <f>+D309</f>
        <v>0</v>
      </c>
      <c r="E310" s="169">
        <f t="shared" ref="E310:O310" si="364">+D310+E309</f>
        <v>-41703.288267251046</v>
      </c>
      <c r="F310" s="169">
        <f t="shared" si="364"/>
        <v>-132555.93072454433</v>
      </c>
      <c r="G310" s="169">
        <f t="shared" si="364"/>
        <v>-223408.57318183762</v>
      </c>
      <c r="H310" s="169">
        <f t="shared" si="364"/>
        <v>-333625.88135523442</v>
      </c>
      <c r="I310" s="169">
        <f t="shared" si="364"/>
        <v>-443843.18952863122</v>
      </c>
      <c r="J310" s="169">
        <f t="shared" si="364"/>
        <v>-512671.56785778189</v>
      </c>
      <c r="K310" s="169">
        <f t="shared" si="364"/>
        <v>-64616.074553418905</v>
      </c>
      <c r="L310" s="169">
        <f t="shared" si="364"/>
        <v>196562.17716983584</v>
      </c>
      <c r="M310" s="169">
        <f t="shared" si="364"/>
        <v>512786.21417732048</v>
      </c>
      <c r="N310" s="169">
        <f t="shared" si="364"/>
        <v>608671.2154259868</v>
      </c>
      <c r="O310" s="169">
        <f t="shared" si="364"/>
        <v>605270.4161626366</v>
      </c>
      <c r="P310" s="169">
        <f t="shared" ref="P310" si="365">+O310+P309</f>
        <v>707241.18571320944</v>
      </c>
      <c r="Q310" s="169">
        <f t="shared" ref="Q310" si="366">+P310+Q309</f>
        <v>769787.127510402</v>
      </c>
      <c r="R310" s="169">
        <f t="shared" ref="R310" si="367">+Q310+R309</f>
        <v>845594.5740840981</v>
      </c>
      <c r="S310" s="169">
        <f t="shared" ref="S310" si="368">+R310+S309</f>
        <v>939771.49606391345</v>
      </c>
      <c r="T310" s="169">
        <f t="shared" ref="T310" si="369">+S310+T309</f>
        <v>989502.78411431366</v>
      </c>
      <c r="U310" s="169">
        <f t="shared" ref="U310" si="370">+T310+U309</f>
        <v>1102938.011535075</v>
      </c>
      <c r="V310" s="169">
        <f t="shared" ref="V310" si="371">+U310+V309</f>
        <v>1209847.9976257309</v>
      </c>
      <c r="W310" s="169">
        <f t="shared" ref="W310" si="372">+V310+W309</f>
        <v>1290508.73496969</v>
      </c>
      <c r="X310" s="169">
        <f t="shared" ref="X310" si="373">+W310+X309</f>
        <v>1363703.1146158322</v>
      </c>
      <c r="Y310" s="169">
        <f t="shared" ref="Y310" si="374">+X310+Y309</f>
        <v>1357904.311740404</v>
      </c>
      <c r="Z310" s="169">
        <f t="shared" ref="Z310" si="375">+Y310+Z309</f>
        <v>1331707.3672707351</v>
      </c>
      <c r="AA310" s="169">
        <f t="shared" ref="AA310" si="376">+Z310+AA309</f>
        <v>1281407.6251111992</v>
      </c>
      <c r="AB310" s="169">
        <f t="shared" ref="AB310" si="377">+AA310+AB309</f>
        <v>1186112.8279331182</v>
      </c>
      <c r="AC310" s="169">
        <f t="shared" ref="AC310" si="378">+AB310+AC309</f>
        <v>1090679.1736578029</v>
      </c>
      <c r="AD310" s="169">
        <f t="shared" ref="AD310" si="379">+AC310+AD309</f>
        <v>991388.64844550891</v>
      </c>
      <c r="AE310" s="169">
        <f t="shared" ref="AE310" si="380">+AD310+AE309</f>
        <v>807695.32439133245</v>
      </c>
      <c r="AF310" s="169">
        <f t="shared" ref="AF310" si="381">+AE310+AF309</f>
        <v>607673.91196996206</v>
      </c>
      <c r="AG310" s="169">
        <f t="shared" ref="AG310" si="382">+AF310+AG309</f>
        <v>409374.5177631604</v>
      </c>
      <c r="AH310" s="169">
        <f t="shared" ref="AH310" si="383">+AG310+AH309</f>
        <v>85160.489014025894</v>
      </c>
      <c r="AI310" s="169">
        <f t="shared" ref="AI310" si="384">+AH310+AI309</f>
        <v>-241509.34618600854</v>
      </c>
      <c r="AJ310" s="169">
        <f t="shared" ref="AJ310" si="385">+AI310+AJ309</f>
        <v>-544192.47084349277</v>
      </c>
      <c r="AK310" s="169">
        <f t="shared" ref="AK310" si="386">+AJ310+AK309</f>
        <v>-832326.6932090912</v>
      </c>
      <c r="AL310" s="169">
        <f t="shared" ref="AL310" si="387">+AK310+AL309</f>
        <v>-1135908.4513073987</v>
      </c>
      <c r="AM310" s="169">
        <f t="shared" ref="AM310" si="388">+AL310+AM309</f>
        <v>-1336520.6349670719</v>
      </c>
      <c r="AN310" s="169">
        <f t="shared" ref="AN310" si="389">+AM310+AN309</f>
        <v>-675871.29761352995</v>
      </c>
      <c r="AO310" s="169">
        <f t="shared" ref="AO310" si="390">+AN310+AO309</f>
        <v>-188220.97779230092</v>
      </c>
      <c r="AP310" s="169">
        <f t="shared" ref="AP310" si="391">+AO310+AP309</f>
        <v>329470.4893696545</v>
      </c>
      <c r="AQ310" s="169">
        <f t="shared" ref="AQ310" si="392">+AP310+AQ309</f>
        <v>279234.27238702116</v>
      </c>
      <c r="AR310" s="169">
        <f t="shared" ref="AR310" si="393">+AQ310+AR309</f>
        <v>229762.51999552629</v>
      </c>
      <c r="AS310" s="169">
        <f t="shared" ref="AS310" si="394">+AR310+AS309</f>
        <v>193165.8065996131</v>
      </c>
      <c r="AT310" s="169">
        <f t="shared" ref="AT310" si="395">+AS310+AT309</f>
        <v>1012685.8686584805</v>
      </c>
      <c r="AU310" s="169">
        <f t="shared" ref="AU310" si="396">+AT310+AU309</f>
        <v>1634062.8492273006</v>
      </c>
      <c r="AV310" s="169">
        <f t="shared" ref="AV310" si="397">+AU310+AV309</f>
        <v>2294767.5353059554</v>
      </c>
      <c r="AW310" s="169">
        <f t="shared" ref="AW310" si="398">+AV310+AW309</f>
        <v>2268985.0488310894</v>
      </c>
      <c r="AX310" s="169">
        <f t="shared" ref="AX310" si="399">+AW310+AX309</f>
        <v>2121264.133246352</v>
      </c>
      <c r="AY310" s="169">
        <f t="shared" ref="AY310" si="400">+AX310+AY309</f>
        <v>1979864.3099009462</v>
      </c>
      <c r="AZ310" s="169">
        <f t="shared" ref="AZ310" si="401">+AY310+AZ309</f>
        <v>2661711.9464576873</v>
      </c>
      <c r="BA310" s="169">
        <f t="shared" ref="BA310" si="402">+AZ310+BA309</f>
        <v>3189164.2834382416</v>
      </c>
      <c r="BB310" s="169">
        <f t="shared" ref="BB310" si="403">+BA310+BB309</f>
        <v>3726434.0042439899</v>
      </c>
      <c r="BC310" s="169">
        <f t="shared" ref="BC310" si="404">+BB310+BC309</f>
        <v>3655501.0812804382</v>
      </c>
      <c r="BD310" s="169">
        <f t="shared" ref="BD310" si="405">+BC310+BD309</f>
        <v>3572428.2435319647</v>
      </c>
      <c r="BE310" s="169">
        <f t="shared" ref="BE310" si="406">+BD310+BE309</f>
        <v>3475239.8559075105</v>
      </c>
      <c r="BF310" s="169">
        <f t="shared" ref="BF310" si="407">+BE310+BF309</f>
        <v>3851830.8611172782</v>
      </c>
      <c r="BG310" s="169">
        <f t="shared" ref="BG310" si="408">+BF310+BG309</f>
        <v>4139609.9637125148</v>
      </c>
      <c r="BH310" s="169">
        <f t="shared" ref="BH310" si="409">+BG310+BH309</f>
        <v>4443891.7091550753</v>
      </c>
      <c r="BI310" s="169">
        <f t="shared" ref="BI310" si="410">+BH310+BI309</f>
        <v>4436849.7091550753</v>
      </c>
      <c r="BJ310" s="169">
        <f t="shared" ref="BJ310" si="411">+BI310+BJ309</f>
        <v>4436849.7091550753</v>
      </c>
      <c r="BK310" s="169">
        <f t="shared" ref="BK310" si="412">+BJ310+BK309</f>
        <v>4436849.7091550753</v>
      </c>
      <c r="BL310" s="169">
        <f t="shared" ref="BL310" si="413">+BK310+BL309</f>
        <v>4436849.7091550753</v>
      </c>
      <c r="BM310" s="169">
        <f t="shared" ref="BM310" si="414">+BL310+BM309</f>
        <v>4436849.7091550753</v>
      </c>
      <c r="BN310" s="169">
        <f t="shared" ref="BN310" si="415">+BM310+BN309</f>
        <v>4436849.7091550753</v>
      </c>
    </row>
    <row r="311" spans="1:69" s="286" customFormat="1" ht="14" outlineLevel="1"/>
    <row r="312" spans="1:69" s="286" customFormat="1" ht="14" outlineLevel="1">
      <c r="A312" s="292" t="s">
        <v>48</v>
      </c>
      <c r="B312" s="292"/>
      <c r="C312" s="293">
        <f>(1+IRR(D309:BN309,0.01))^12-1</f>
        <v>10.124578066766251</v>
      </c>
    </row>
    <row r="313" spans="1:69" s="286" customFormat="1" ht="14" outlineLevel="1">
      <c r="A313" s="294" t="s">
        <v>98</v>
      </c>
      <c r="B313" s="294" t="s">
        <v>267</v>
      </c>
      <c r="C313" s="294">
        <f>+C309</f>
        <v>4436849.7091550753</v>
      </c>
    </row>
    <row r="314" spans="1:69" s="286" customFormat="1" ht="14" outlineLevel="1">
      <c r="A314" s="294" t="s">
        <v>160</v>
      </c>
      <c r="B314" s="294" t="s">
        <v>267</v>
      </c>
      <c r="C314" s="294">
        <f>+MIN(D310:BK310)</f>
        <v>-1336520.6349670719</v>
      </c>
    </row>
    <row r="315" spans="1:69" s="286" customFormat="1" ht="14" outlineLevel="1">
      <c r="A315" s="294" t="s">
        <v>165</v>
      </c>
      <c r="B315" s="294"/>
      <c r="C315" s="296">
        <f>-C313/C314</f>
        <v>3.3197016140827387</v>
      </c>
    </row>
    <row r="316" spans="1:69" s="286" customFormat="1" ht="14" outlineLevel="1">
      <c r="A316" s="295" t="s">
        <v>161</v>
      </c>
      <c r="B316" s="295"/>
      <c r="C316" s="314">
        <v>3</v>
      </c>
    </row>
    <row r="320" spans="1:69" s="251" customFormat="1" ht="14">
      <c r="A320" s="238"/>
      <c r="B320" s="238"/>
      <c r="C320" s="238"/>
      <c r="D320" s="238">
        <f t="shared" ref="D320:AW320" si="416">-D240</f>
        <v>0</v>
      </c>
      <c r="E320" s="238">
        <f t="shared" si="416"/>
        <v>0</v>
      </c>
      <c r="F320" s="238">
        <f t="shared" si="416"/>
        <v>0</v>
      </c>
      <c r="G320" s="238">
        <f t="shared" si="416"/>
        <v>0</v>
      </c>
      <c r="H320" s="238">
        <f t="shared" si="416"/>
        <v>0</v>
      </c>
      <c r="I320" s="238">
        <f t="shared" si="416"/>
        <v>0</v>
      </c>
      <c r="J320" s="238">
        <f t="shared" si="416"/>
        <v>0</v>
      </c>
      <c r="K320" s="238">
        <f t="shared" si="416"/>
        <v>0</v>
      </c>
      <c r="L320" s="238">
        <f t="shared" si="416"/>
        <v>0</v>
      </c>
      <c r="M320" s="238">
        <f t="shared" si="416"/>
        <v>0</v>
      </c>
      <c r="N320" s="238">
        <f t="shared" si="416"/>
        <v>0</v>
      </c>
      <c r="O320" s="238">
        <f t="shared" si="416"/>
        <v>0</v>
      </c>
      <c r="P320" s="238">
        <f t="shared" si="416"/>
        <v>0</v>
      </c>
      <c r="Q320" s="238">
        <f t="shared" si="416"/>
        <v>0</v>
      </c>
      <c r="R320" s="238">
        <f t="shared" si="416"/>
        <v>0</v>
      </c>
      <c r="S320" s="238">
        <f t="shared" si="416"/>
        <v>0</v>
      </c>
      <c r="T320" s="238">
        <f t="shared" si="416"/>
        <v>0</v>
      </c>
      <c r="U320" s="238">
        <f t="shared" si="416"/>
        <v>0</v>
      </c>
      <c r="V320" s="238">
        <f t="shared" si="416"/>
        <v>0</v>
      </c>
      <c r="W320" s="238">
        <f t="shared" si="416"/>
        <v>0</v>
      </c>
      <c r="X320" s="238">
        <f t="shared" si="416"/>
        <v>0</v>
      </c>
      <c r="Y320" s="238">
        <f t="shared" si="416"/>
        <v>0</v>
      </c>
      <c r="Z320" s="238">
        <f t="shared" si="416"/>
        <v>0</v>
      </c>
      <c r="AA320" s="238">
        <f t="shared" si="416"/>
        <v>0</v>
      </c>
      <c r="AB320" s="238">
        <f t="shared" si="416"/>
        <v>0</v>
      </c>
      <c r="AC320" s="238">
        <f t="shared" si="416"/>
        <v>0</v>
      </c>
      <c r="AD320" s="238">
        <f t="shared" si="416"/>
        <v>0</v>
      </c>
      <c r="AE320" s="238">
        <f t="shared" si="416"/>
        <v>0</v>
      </c>
      <c r="AF320" s="238">
        <f t="shared" si="416"/>
        <v>0</v>
      </c>
      <c r="AG320" s="238">
        <f t="shared" si="416"/>
        <v>0</v>
      </c>
      <c r="AH320" s="238">
        <f t="shared" si="416"/>
        <v>0</v>
      </c>
      <c r="AI320" s="238">
        <f t="shared" si="416"/>
        <v>0</v>
      </c>
      <c r="AJ320" s="238">
        <f t="shared" si="416"/>
        <v>0</v>
      </c>
      <c r="AK320" s="238">
        <f t="shared" si="416"/>
        <v>0</v>
      </c>
      <c r="AL320" s="238">
        <f t="shared" si="416"/>
        <v>0</v>
      </c>
      <c r="AM320" s="238">
        <f t="shared" si="416"/>
        <v>0</v>
      </c>
      <c r="AN320" s="238">
        <f t="shared" si="416"/>
        <v>0</v>
      </c>
      <c r="AO320" s="238">
        <f t="shared" si="416"/>
        <v>0</v>
      </c>
      <c r="AP320" s="238">
        <f t="shared" si="416"/>
        <v>0</v>
      </c>
      <c r="AQ320" s="238">
        <f t="shared" si="416"/>
        <v>0</v>
      </c>
      <c r="AR320" s="238">
        <f t="shared" si="416"/>
        <v>0</v>
      </c>
      <c r="AS320" s="238">
        <f t="shared" si="416"/>
        <v>0</v>
      </c>
      <c r="AT320" s="238">
        <f t="shared" si="416"/>
        <v>0</v>
      </c>
      <c r="AU320" s="238">
        <f t="shared" si="416"/>
        <v>0</v>
      </c>
      <c r="AV320" s="238">
        <f t="shared" si="416"/>
        <v>0</v>
      </c>
      <c r="AW320" s="238">
        <f t="shared" si="416"/>
        <v>0</v>
      </c>
      <c r="AX320" s="238"/>
      <c r="AY320" s="238"/>
      <c r="AZ320" s="238"/>
      <c r="BA320" s="238"/>
      <c r="BB320" s="238"/>
      <c r="BC320" s="238"/>
      <c r="BD320" s="238"/>
      <c r="BE320" s="238"/>
      <c r="BF320" s="238"/>
      <c r="BG320" s="238"/>
      <c r="BH320" s="238"/>
      <c r="BI320" s="238"/>
      <c r="BJ320" s="238"/>
      <c r="BK320" s="238"/>
      <c r="BL320" s="238"/>
      <c r="BM320" s="238"/>
      <c r="BN320" s="238"/>
      <c r="BO320" s="238"/>
      <c r="BP320" s="238"/>
      <c r="BQ320" s="238"/>
    </row>
    <row r="321" spans="1:69" s="251" customFormat="1" ht="14">
      <c r="A321" s="238"/>
      <c r="B321" s="238"/>
      <c r="C321" s="238"/>
      <c r="D321" s="238">
        <f t="shared" ref="D321:AW321" si="417">-D247-D250</f>
        <v>0</v>
      </c>
      <c r="E321" s="238">
        <f t="shared" si="417"/>
        <v>0</v>
      </c>
      <c r="F321" s="238">
        <f t="shared" si="417"/>
        <v>0</v>
      </c>
      <c r="G321" s="238">
        <f t="shared" si="417"/>
        <v>0</v>
      </c>
      <c r="H321" s="238">
        <f t="shared" si="417"/>
        <v>0</v>
      </c>
      <c r="I321" s="238">
        <f t="shared" si="417"/>
        <v>0</v>
      </c>
      <c r="J321" s="238">
        <f t="shared" si="417"/>
        <v>0</v>
      </c>
      <c r="K321" s="238">
        <f t="shared" si="417"/>
        <v>0</v>
      </c>
      <c r="L321" s="238">
        <f t="shared" si="417"/>
        <v>0</v>
      </c>
      <c r="M321" s="238">
        <f t="shared" si="417"/>
        <v>0</v>
      </c>
      <c r="N321" s="238">
        <f t="shared" si="417"/>
        <v>0</v>
      </c>
      <c r="O321" s="238">
        <f t="shared" si="417"/>
        <v>0</v>
      </c>
      <c r="P321" s="238">
        <f t="shared" si="417"/>
        <v>0</v>
      </c>
      <c r="Q321" s="238">
        <f t="shared" si="417"/>
        <v>0</v>
      </c>
      <c r="R321" s="238">
        <f t="shared" si="417"/>
        <v>0</v>
      </c>
      <c r="S321" s="238">
        <f t="shared" si="417"/>
        <v>0</v>
      </c>
      <c r="T321" s="238">
        <f t="shared" si="417"/>
        <v>0</v>
      </c>
      <c r="U321" s="238">
        <f t="shared" si="417"/>
        <v>0</v>
      </c>
      <c r="V321" s="238">
        <f t="shared" si="417"/>
        <v>0</v>
      </c>
      <c r="W321" s="238">
        <f t="shared" si="417"/>
        <v>0</v>
      </c>
      <c r="X321" s="238">
        <f t="shared" si="417"/>
        <v>0</v>
      </c>
      <c r="Y321" s="238">
        <f t="shared" si="417"/>
        <v>0</v>
      </c>
      <c r="Z321" s="238">
        <f t="shared" si="417"/>
        <v>0</v>
      </c>
      <c r="AA321" s="238">
        <f t="shared" si="417"/>
        <v>0</v>
      </c>
      <c r="AB321" s="238">
        <f t="shared" si="417"/>
        <v>0</v>
      </c>
      <c r="AC321" s="238">
        <f t="shared" si="417"/>
        <v>0</v>
      </c>
      <c r="AD321" s="238">
        <f t="shared" si="417"/>
        <v>0</v>
      </c>
      <c r="AE321" s="238">
        <f t="shared" si="417"/>
        <v>0</v>
      </c>
      <c r="AF321" s="238">
        <f t="shared" si="417"/>
        <v>0</v>
      </c>
      <c r="AG321" s="238">
        <f t="shared" si="417"/>
        <v>0</v>
      </c>
      <c r="AH321" s="238">
        <f t="shared" si="417"/>
        <v>0</v>
      </c>
      <c r="AI321" s="238">
        <f t="shared" si="417"/>
        <v>0</v>
      </c>
      <c r="AJ321" s="238">
        <f t="shared" si="417"/>
        <v>0</v>
      </c>
      <c r="AK321" s="238">
        <f t="shared" si="417"/>
        <v>0</v>
      </c>
      <c r="AL321" s="238">
        <f t="shared" si="417"/>
        <v>0</v>
      </c>
      <c r="AM321" s="238">
        <f t="shared" si="417"/>
        <v>0</v>
      </c>
      <c r="AN321" s="238">
        <f t="shared" si="417"/>
        <v>0</v>
      </c>
      <c r="AO321" s="238">
        <f t="shared" si="417"/>
        <v>0</v>
      </c>
      <c r="AP321" s="238">
        <f t="shared" si="417"/>
        <v>0</v>
      </c>
      <c r="AQ321" s="238">
        <f t="shared" si="417"/>
        <v>0</v>
      </c>
      <c r="AR321" s="238">
        <f t="shared" si="417"/>
        <v>0</v>
      </c>
      <c r="AS321" s="238">
        <f t="shared" si="417"/>
        <v>0</v>
      </c>
      <c r="AT321" s="238">
        <f t="shared" si="417"/>
        <v>0</v>
      </c>
      <c r="AU321" s="238">
        <f t="shared" si="417"/>
        <v>0</v>
      </c>
      <c r="AV321" s="238">
        <f t="shared" si="417"/>
        <v>0</v>
      </c>
      <c r="AW321" s="238">
        <f t="shared" si="417"/>
        <v>0</v>
      </c>
      <c r="AX321" s="238"/>
      <c r="AY321" s="238"/>
      <c r="AZ321" s="238"/>
      <c r="BA321" s="238"/>
      <c r="BB321" s="238"/>
      <c r="BC321" s="238"/>
      <c r="BD321" s="238"/>
      <c r="BE321" s="238"/>
      <c r="BF321" s="238"/>
      <c r="BG321" s="238"/>
      <c r="BH321" s="238"/>
      <c r="BI321" s="238"/>
      <c r="BJ321" s="238"/>
      <c r="BK321" s="238"/>
      <c r="BL321" s="238"/>
      <c r="BM321" s="238"/>
      <c r="BN321" s="238"/>
      <c r="BO321" s="238"/>
      <c r="BP321" s="238"/>
      <c r="BQ321" s="238"/>
    </row>
    <row r="322" spans="1:69" s="251" customFormat="1" ht="14">
      <c r="A322" s="238"/>
      <c r="B322" s="238"/>
      <c r="C322" s="250"/>
      <c r="D322" s="238">
        <f>+D321+D320</f>
        <v>0</v>
      </c>
      <c r="E322" s="238">
        <f t="shared" ref="E322:AW322" si="418">+E321+E320</f>
        <v>0</v>
      </c>
      <c r="F322" s="238">
        <f t="shared" si="418"/>
        <v>0</v>
      </c>
      <c r="G322" s="238">
        <f t="shared" si="418"/>
        <v>0</v>
      </c>
      <c r="H322" s="238">
        <f t="shared" si="418"/>
        <v>0</v>
      </c>
      <c r="I322" s="238">
        <f t="shared" si="418"/>
        <v>0</v>
      </c>
      <c r="J322" s="238">
        <f t="shared" si="418"/>
        <v>0</v>
      </c>
      <c r="K322" s="238">
        <f t="shared" si="418"/>
        <v>0</v>
      </c>
      <c r="L322" s="238">
        <f t="shared" si="418"/>
        <v>0</v>
      </c>
      <c r="M322" s="238">
        <f t="shared" si="418"/>
        <v>0</v>
      </c>
      <c r="N322" s="238">
        <f t="shared" si="418"/>
        <v>0</v>
      </c>
      <c r="O322" s="238">
        <f t="shared" si="418"/>
        <v>0</v>
      </c>
      <c r="P322" s="238">
        <f t="shared" si="418"/>
        <v>0</v>
      </c>
      <c r="Q322" s="238">
        <f t="shared" si="418"/>
        <v>0</v>
      </c>
      <c r="R322" s="238">
        <f t="shared" si="418"/>
        <v>0</v>
      </c>
      <c r="S322" s="238">
        <f t="shared" si="418"/>
        <v>0</v>
      </c>
      <c r="T322" s="238">
        <f t="shared" si="418"/>
        <v>0</v>
      </c>
      <c r="U322" s="238">
        <f t="shared" si="418"/>
        <v>0</v>
      </c>
      <c r="V322" s="238">
        <f t="shared" si="418"/>
        <v>0</v>
      </c>
      <c r="W322" s="238">
        <f t="shared" si="418"/>
        <v>0</v>
      </c>
      <c r="X322" s="238">
        <f t="shared" si="418"/>
        <v>0</v>
      </c>
      <c r="Y322" s="238">
        <f t="shared" si="418"/>
        <v>0</v>
      </c>
      <c r="Z322" s="238">
        <f t="shared" si="418"/>
        <v>0</v>
      </c>
      <c r="AA322" s="238">
        <f t="shared" si="418"/>
        <v>0</v>
      </c>
      <c r="AB322" s="238">
        <f t="shared" si="418"/>
        <v>0</v>
      </c>
      <c r="AC322" s="238">
        <f t="shared" si="418"/>
        <v>0</v>
      </c>
      <c r="AD322" s="238">
        <f t="shared" si="418"/>
        <v>0</v>
      </c>
      <c r="AE322" s="238">
        <f t="shared" si="418"/>
        <v>0</v>
      </c>
      <c r="AF322" s="238">
        <f t="shared" si="418"/>
        <v>0</v>
      </c>
      <c r="AG322" s="238">
        <f t="shared" si="418"/>
        <v>0</v>
      </c>
      <c r="AH322" s="238">
        <f t="shared" si="418"/>
        <v>0</v>
      </c>
      <c r="AI322" s="238">
        <f t="shared" si="418"/>
        <v>0</v>
      </c>
      <c r="AJ322" s="238">
        <f t="shared" si="418"/>
        <v>0</v>
      </c>
      <c r="AK322" s="238">
        <f t="shared" si="418"/>
        <v>0</v>
      </c>
      <c r="AL322" s="238">
        <f t="shared" si="418"/>
        <v>0</v>
      </c>
      <c r="AM322" s="238">
        <f t="shared" si="418"/>
        <v>0</v>
      </c>
      <c r="AN322" s="238">
        <f t="shared" si="418"/>
        <v>0</v>
      </c>
      <c r="AO322" s="238">
        <f t="shared" si="418"/>
        <v>0</v>
      </c>
      <c r="AP322" s="238">
        <f t="shared" si="418"/>
        <v>0</v>
      </c>
      <c r="AQ322" s="238">
        <f t="shared" si="418"/>
        <v>0</v>
      </c>
      <c r="AR322" s="238">
        <f t="shared" si="418"/>
        <v>0</v>
      </c>
      <c r="AS322" s="238">
        <f t="shared" si="418"/>
        <v>0</v>
      </c>
      <c r="AT322" s="238">
        <f t="shared" si="418"/>
        <v>0</v>
      </c>
      <c r="AU322" s="238">
        <f t="shared" si="418"/>
        <v>0</v>
      </c>
      <c r="AV322" s="238">
        <f t="shared" si="418"/>
        <v>0</v>
      </c>
      <c r="AW322" s="238">
        <f t="shared" si="418"/>
        <v>0</v>
      </c>
      <c r="AX322" s="238"/>
      <c r="AY322" s="238"/>
      <c r="AZ322" s="238"/>
      <c r="BA322" s="238"/>
      <c r="BB322" s="238"/>
      <c r="BC322" s="238"/>
      <c r="BD322" s="238"/>
      <c r="BE322" s="238"/>
      <c r="BF322" s="238"/>
      <c r="BG322" s="238"/>
      <c r="BH322" s="238"/>
      <c r="BI322" s="238"/>
      <c r="BJ322" s="238"/>
      <c r="BK322" s="238"/>
      <c r="BL322" s="238"/>
      <c r="BM322" s="238"/>
      <c r="BN322" s="238"/>
      <c r="BO322" s="238"/>
      <c r="BP322" s="238"/>
      <c r="BQ322" s="238"/>
    </row>
    <row r="324" spans="1:69" s="70" customFormat="1" ht="14">
      <c r="A324" s="66"/>
      <c r="B324" s="66"/>
      <c r="C324" s="66"/>
      <c r="D324" s="66"/>
      <c r="E324" s="66"/>
      <c r="F324" s="66"/>
      <c r="G324" s="66"/>
      <c r="H324" s="66"/>
      <c r="I324" s="66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  <c r="U324" s="66"/>
      <c r="V324" s="66"/>
      <c r="W324" s="66"/>
      <c r="X324" s="66"/>
      <c r="Y324" s="66"/>
      <c r="Z324" s="66"/>
      <c r="AA324" s="66"/>
      <c r="AB324" s="66"/>
      <c r="AC324" s="66"/>
      <c r="AD324" s="66"/>
      <c r="AE324" s="66"/>
      <c r="AF324" s="66"/>
      <c r="AG324" s="66"/>
      <c r="AH324" s="66"/>
      <c r="AI324" s="66"/>
      <c r="AJ324" s="66"/>
      <c r="AK324" s="66"/>
      <c r="AL324" s="66"/>
      <c r="AM324" s="66"/>
      <c r="AN324" s="66"/>
      <c r="AO324" s="66"/>
      <c r="AP324" s="66"/>
      <c r="AQ324" s="66"/>
      <c r="AR324" s="66"/>
      <c r="AS324" s="66"/>
      <c r="AT324" s="66"/>
      <c r="AU324" s="66"/>
      <c r="AV324" s="66"/>
      <c r="AW324" s="66"/>
      <c r="AX324" s="66"/>
      <c r="AY324" s="66"/>
      <c r="AZ324" s="66"/>
      <c r="BA324" s="66"/>
      <c r="BB324" s="66"/>
      <c r="BC324" s="66"/>
      <c r="BD324" s="66"/>
      <c r="BE324" s="66"/>
      <c r="BF324" s="66"/>
      <c r="BG324" s="66"/>
      <c r="BH324" s="66"/>
      <c r="BI324" s="66"/>
      <c r="BJ324" s="66"/>
      <c r="BK324" s="66"/>
      <c r="BL324" s="66"/>
      <c r="BM324" s="66"/>
      <c r="BN324" s="66"/>
      <c r="BO324" s="66"/>
      <c r="BP324" s="66"/>
      <c r="BQ324" s="66"/>
    </row>
    <row r="325" spans="1:69" s="70" customFormat="1" ht="14">
      <c r="A325" s="66"/>
      <c r="B325" s="66"/>
      <c r="C325" s="66"/>
      <c r="D325" s="66"/>
      <c r="E325" s="66"/>
      <c r="F325" s="66"/>
      <c r="G325" s="66"/>
      <c r="H325" s="66"/>
      <c r="I325" s="66"/>
      <c r="J325" s="66"/>
      <c r="K325" s="66"/>
      <c r="L325" s="66"/>
      <c r="M325" s="66"/>
      <c r="N325" s="66"/>
      <c r="O325" s="66"/>
      <c r="P325" s="66"/>
      <c r="Q325" s="66"/>
      <c r="R325" s="66"/>
      <c r="S325" s="66"/>
      <c r="T325" s="66"/>
      <c r="U325" s="66"/>
      <c r="V325" s="66"/>
      <c r="W325" s="66"/>
      <c r="X325" s="66"/>
      <c r="Y325" s="66"/>
      <c r="Z325" s="66"/>
      <c r="AA325" s="66"/>
      <c r="AB325" s="66"/>
      <c r="AC325" s="66"/>
      <c r="AD325" s="66"/>
      <c r="AE325" s="66"/>
      <c r="AF325" s="66"/>
      <c r="AG325" s="66"/>
      <c r="AH325" s="66"/>
      <c r="AI325" s="66"/>
      <c r="AJ325" s="66"/>
      <c r="AK325" s="66"/>
      <c r="AL325" s="66"/>
      <c r="AM325" s="66"/>
      <c r="AN325" s="66"/>
      <c r="AO325" s="66"/>
      <c r="AP325" s="66"/>
      <c r="AQ325" s="66"/>
      <c r="AR325" s="66"/>
      <c r="AS325" s="66"/>
      <c r="AT325" s="66"/>
      <c r="AU325" s="66"/>
      <c r="AV325" s="66"/>
      <c r="AW325" s="66"/>
      <c r="AX325" s="66"/>
      <c r="AY325" s="66"/>
      <c r="AZ325" s="66"/>
      <c r="BA325" s="66"/>
      <c r="BB325" s="66"/>
      <c r="BC325" s="66"/>
      <c r="BD325" s="66"/>
      <c r="BE325" s="66"/>
      <c r="BF325" s="66"/>
      <c r="BG325" s="66"/>
      <c r="BH325" s="66"/>
      <c r="BI325" s="66"/>
      <c r="BJ325" s="66"/>
      <c r="BK325" s="66"/>
      <c r="BL325" s="66"/>
      <c r="BM325" s="66"/>
      <c r="BN325" s="66"/>
      <c r="BO325" s="66"/>
      <c r="BP325" s="66"/>
      <c r="BQ325" s="66"/>
    </row>
    <row r="326" spans="1:69" s="70" customFormat="1" ht="14">
      <c r="A326" s="66"/>
      <c r="B326" s="66"/>
      <c r="C326" s="66"/>
      <c r="D326" s="66"/>
      <c r="E326" s="66"/>
      <c r="F326" s="66"/>
      <c r="G326" s="66"/>
      <c r="H326" s="66"/>
      <c r="I326" s="66"/>
      <c r="J326" s="66"/>
      <c r="K326" s="66"/>
      <c r="L326" s="66"/>
      <c r="M326" s="66"/>
      <c r="N326" s="66"/>
      <c r="O326" s="66"/>
      <c r="P326" s="66"/>
      <c r="Q326" s="66"/>
      <c r="R326" s="66"/>
      <c r="S326" s="66"/>
      <c r="T326" s="66"/>
      <c r="U326" s="66"/>
      <c r="V326" s="66"/>
      <c r="W326" s="66"/>
      <c r="X326" s="66"/>
      <c r="Y326" s="66"/>
      <c r="Z326" s="66"/>
      <c r="AA326" s="66"/>
      <c r="AB326" s="66"/>
      <c r="AC326" s="66"/>
      <c r="AD326" s="66"/>
      <c r="AE326" s="66"/>
      <c r="AF326" s="66"/>
      <c r="AG326" s="66"/>
      <c r="AH326" s="66"/>
      <c r="AI326" s="66"/>
      <c r="AJ326" s="66"/>
      <c r="AK326" s="66"/>
      <c r="AL326" s="66"/>
      <c r="AM326" s="66"/>
      <c r="AN326" s="66"/>
      <c r="AO326" s="66"/>
      <c r="AP326" s="66"/>
      <c r="AQ326" s="66"/>
      <c r="AR326" s="66"/>
      <c r="AS326" s="66"/>
      <c r="AT326" s="66"/>
      <c r="AU326" s="66"/>
      <c r="AV326" s="66"/>
      <c r="AW326" s="66"/>
      <c r="AX326" s="66"/>
      <c r="AY326" s="66"/>
      <c r="AZ326" s="66"/>
      <c r="BA326" s="66"/>
      <c r="BB326" s="66"/>
      <c r="BC326" s="66"/>
      <c r="BD326" s="66"/>
      <c r="BE326" s="66"/>
      <c r="BF326" s="66"/>
      <c r="BG326" s="66"/>
      <c r="BH326" s="66"/>
      <c r="BI326" s="66"/>
      <c r="BJ326" s="66"/>
      <c r="BK326" s="66"/>
      <c r="BL326" s="66"/>
      <c r="BM326" s="66"/>
      <c r="BN326" s="66"/>
      <c r="BO326" s="66"/>
      <c r="BP326" s="66"/>
      <c r="BQ326" s="66"/>
    </row>
    <row r="327" spans="1:69" s="70" customFormat="1" ht="14">
      <c r="A327" s="66"/>
      <c r="B327" s="66"/>
      <c r="C327" s="359" t="s">
        <v>202</v>
      </c>
      <c r="D327" s="67">
        <v>1</v>
      </c>
      <c r="E327" s="67">
        <v>2</v>
      </c>
      <c r="F327" s="67">
        <v>3</v>
      </c>
      <c r="G327" s="67">
        <v>4</v>
      </c>
      <c r="H327" s="67">
        <v>5</v>
      </c>
      <c r="I327" s="67">
        <v>6</v>
      </c>
      <c r="J327" s="67">
        <v>7</v>
      </c>
      <c r="K327" s="67">
        <v>8</v>
      </c>
      <c r="L327" s="67">
        <v>9</v>
      </c>
      <c r="M327" s="67">
        <v>10</v>
      </c>
      <c r="N327" s="66"/>
      <c r="O327" s="66"/>
      <c r="P327" s="66"/>
      <c r="Q327" s="66"/>
      <c r="R327" s="66"/>
      <c r="S327" s="66"/>
      <c r="T327" s="66"/>
      <c r="U327" s="66"/>
      <c r="V327" s="66"/>
      <c r="W327" s="66"/>
      <c r="X327" s="66"/>
      <c r="Y327" s="66"/>
      <c r="Z327" s="66"/>
      <c r="AA327" s="66"/>
      <c r="AB327" s="66"/>
      <c r="AC327" s="66"/>
      <c r="AD327" s="66"/>
      <c r="AE327" s="66"/>
      <c r="AF327" s="66"/>
      <c r="AG327" s="66"/>
      <c r="AH327" s="66"/>
      <c r="AI327" s="66"/>
      <c r="AJ327" s="66"/>
      <c r="AK327" s="66"/>
      <c r="AL327" s="66"/>
      <c r="AM327" s="66"/>
      <c r="AN327" s="66"/>
      <c r="AO327" s="66"/>
      <c r="AP327" s="66"/>
      <c r="AQ327" s="66"/>
      <c r="AR327" s="66"/>
      <c r="AS327" s="66"/>
      <c r="AT327" s="66"/>
      <c r="AU327" s="66"/>
      <c r="AV327" s="66"/>
      <c r="AW327" s="66"/>
      <c r="AX327" s="66"/>
      <c r="AY327" s="66"/>
      <c r="AZ327" s="66"/>
      <c r="BA327" s="66"/>
      <c r="BB327" s="66"/>
      <c r="BC327" s="66"/>
      <c r="BD327" s="66"/>
      <c r="BE327" s="66"/>
      <c r="BF327" s="66"/>
      <c r="BG327" s="66"/>
      <c r="BH327" s="66"/>
      <c r="BI327" s="66"/>
      <c r="BJ327" s="66"/>
      <c r="BK327" s="66"/>
      <c r="BL327" s="66"/>
      <c r="BM327" s="66"/>
      <c r="BN327" s="66"/>
      <c r="BO327" s="66"/>
      <c r="BP327" s="66"/>
      <c r="BQ327" s="66"/>
    </row>
    <row r="328" spans="1:69" s="70" customFormat="1" ht="14">
      <c r="A328" s="66"/>
      <c r="B328" s="63"/>
      <c r="C328" s="358" t="s">
        <v>291</v>
      </c>
      <c r="D328" s="63">
        <f>SUM(D252:I252)</f>
        <v>-2387837.589528631</v>
      </c>
      <c r="E328" s="63">
        <f>SUM(J252:O252)</f>
        <v>1638874.8173460618</v>
      </c>
      <c r="F328" s="63">
        <f>+SUM(P252:U252)</f>
        <v>1029318.101196654</v>
      </c>
      <c r="G328" s="63">
        <f>+SUM(V252:AA252)</f>
        <v>738851.16186435288</v>
      </c>
      <c r="H328" s="63">
        <f>+SUM(AB252:AG252)</f>
        <v>-153216.67219230684</v>
      </c>
      <c r="I328" s="63">
        <f>+SUM(AH252:AM252)</f>
        <v>-821186.43360819609</v>
      </c>
      <c r="J328" s="63">
        <f>+SUM(AN252:AS252)</f>
        <v>3078613.1965354695</v>
      </c>
      <c r="K328" s="63">
        <f>+SUM(AT252:AY252)</f>
        <v>3023043.5735939457</v>
      </c>
      <c r="L328" s="63">
        <f>+SUM(AZ252:BE252)</f>
        <v>2237569.8635158371</v>
      </c>
      <c r="M328" s="63">
        <f>+SUM(BF252:BK252)</f>
        <v>1312875.7962699658</v>
      </c>
      <c r="N328" s="66">
        <f>SUM(D328:M328)</f>
        <v>9696905.8149931524</v>
      </c>
      <c r="O328" s="66">
        <f>+N328-D252</f>
        <v>11640900.214993153</v>
      </c>
      <c r="P328" s="66"/>
      <c r="Q328" s="66"/>
      <c r="R328" s="66"/>
      <c r="S328" s="66"/>
      <c r="T328" s="66"/>
      <c r="U328" s="66"/>
      <c r="V328" s="66"/>
      <c r="W328" s="66"/>
      <c r="X328" s="66"/>
      <c r="Y328" s="66"/>
      <c r="Z328" s="66"/>
      <c r="AA328" s="66"/>
      <c r="AB328" s="66"/>
      <c r="AC328" s="66"/>
      <c r="AD328" s="66"/>
      <c r="AE328" s="66"/>
      <c r="AF328" s="66"/>
      <c r="AG328" s="66"/>
      <c r="AH328" s="66"/>
      <c r="AI328" s="66"/>
      <c r="AJ328" s="66"/>
      <c r="AK328" s="66"/>
      <c r="AL328" s="66"/>
      <c r="AM328" s="66"/>
      <c r="AN328" s="66"/>
      <c r="AO328" s="66"/>
      <c r="AP328" s="66"/>
      <c r="AQ328" s="66"/>
      <c r="AR328" s="66"/>
      <c r="AS328" s="66"/>
      <c r="AT328" s="66"/>
      <c r="AU328" s="66"/>
      <c r="AV328" s="66"/>
      <c r="AW328" s="66"/>
      <c r="AX328" s="66"/>
      <c r="AY328" s="66"/>
      <c r="AZ328" s="66"/>
      <c r="BA328" s="66"/>
      <c r="BB328" s="66"/>
      <c r="BC328" s="66"/>
      <c r="BD328" s="66"/>
      <c r="BE328" s="66"/>
      <c r="BF328" s="66"/>
      <c r="BG328" s="66"/>
      <c r="BH328" s="66"/>
      <c r="BI328" s="66"/>
      <c r="BJ328" s="66"/>
      <c r="BK328" s="66"/>
      <c r="BL328" s="66"/>
      <c r="BM328" s="66"/>
      <c r="BN328" s="66"/>
      <c r="BO328" s="66"/>
      <c r="BP328" s="66"/>
      <c r="BQ328" s="66"/>
    </row>
    <row r="329" spans="1:69" s="70" customFormat="1" ht="14">
      <c r="A329" s="66"/>
      <c r="B329" s="561"/>
      <c r="C329" s="562" t="s">
        <v>292</v>
      </c>
      <c r="D329" s="561">
        <f>+D328/'Resid - Datos'!$O$7</f>
        <v>-2387837.589528631</v>
      </c>
      <c r="E329" s="561">
        <f>+E328/'Resid - Datos'!$O$7</f>
        <v>1638874.8173460618</v>
      </c>
      <c r="F329" s="561">
        <f>+F328/'Resid - Datos'!$O$7</f>
        <v>1029318.101196654</v>
      </c>
      <c r="G329" s="561">
        <f>+G328/'Resid - Datos'!$O$7</f>
        <v>738851.16186435288</v>
      </c>
      <c r="H329" s="561">
        <f>+H328/'Resid - Datos'!$O$7</f>
        <v>-153216.67219230684</v>
      </c>
      <c r="I329" s="561">
        <f>+I328/'Resid - Datos'!$O$7</f>
        <v>-821186.43360819609</v>
      </c>
      <c r="J329" s="561">
        <f>+J328/'Resid - Datos'!$O$7</f>
        <v>3078613.1965354695</v>
      </c>
      <c r="K329" s="561">
        <f>+K328/'Resid - Datos'!$O$7</f>
        <v>3023043.5735939457</v>
      </c>
      <c r="L329" s="561">
        <f>+L328/'Resid - Datos'!$O$7</f>
        <v>2237569.8635158371</v>
      </c>
      <c r="M329" s="561">
        <f>+M328/'Resid - Datos'!$O$7</f>
        <v>1312875.7962699658</v>
      </c>
      <c r="N329" s="66">
        <f>SUM(D329:M329)</f>
        <v>9696905.8149931524</v>
      </c>
      <c r="O329" s="66">
        <f>+N329-D252/'Resid - Datos'!O7</f>
        <v>11640900.214993153</v>
      </c>
      <c r="P329" s="66"/>
      <c r="Q329" s="66"/>
      <c r="R329" s="66"/>
      <c r="S329" s="66"/>
      <c r="T329" s="66"/>
      <c r="U329" s="66"/>
      <c r="V329" s="66"/>
      <c r="W329" s="66"/>
      <c r="X329" s="66"/>
      <c r="Y329" s="66"/>
      <c r="Z329" s="66"/>
      <c r="AA329" s="66"/>
      <c r="AB329" s="66"/>
      <c r="AC329" s="66"/>
      <c r="AD329" s="66"/>
      <c r="AE329" s="66"/>
      <c r="AF329" s="66"/>
      <c r="AG329" s="66"/>
      <c r="AH329" s="66"/>
      <c r="AI329" s="66"/>
      <c r="AJ329" s="66"/>
      <c r="AK329" s="66"/>
      <c r="AL329" s="66"/>
      <c r="AM329" s="66"/>
      <c r="AN329" s="66"/>
      <c r="AO329" s="66"/>
      <c r="AP329" s="66"/>
      <c r="AQ329" s="66"/>
      <c r="AR329" s="66"/>
      <c r="AS329" s="66"/>
      <c r="AT329" s="66"/>
      <c r="AU329" s="66"/>
      <c r="AV329" s="66"/>
      <c r="AW329" s="66"/>
      <c r="AX329" s="66"/>
      <c r="AY329" s="66"/>
      <c r="AZ329" s="66"/>
      <c r="BA329" s="66"/>
      <c r="BB329" s="66"/>
      <c r="BC329" s="66"/>
      <c r="BD329" s="66"/>
      <c r="BE329" s="66"/>
      <c r="BF329" s="66"/>
      <c r="BG329" s="66"/>
      <c r="BH329" s="66"/>
      <c r="BI329" s="66"/>
      <c r="BJ329" s="66"/>
      <c r="BK329" s="66"/>
      <c r="BL329" s="66"/>
      <c r="BM329" s="66"/>
      <c r="BN329" s="66"/>
      <c r="BO329" s="66"/>
      <c r="BP329" s="66"/>
      <c r="BQ329" s="66"/>
    </row>
    <row r="330" spans="1:69" s="70" customFormat="1" ht="14">
      <c r="A330" s="66"/>
      <c r="B330" s="66"/>
      <c r="C330" s="66"/>
      <c r="D330" s="66"/>
      <c r="E330" s="66"/>
      <c r="F330" s="66"/>
      <c r="G330" s="66"/>
      <c r="H330" s="66"/>
      <c r="I330" s="66"/>
      <c r="J330" s="66"/>
      <c r="K330" s="66"/>
      <c r="L330" s="66"/>
      <c r="M330" s="66"/>
      <c r="N330" s="66"/>
      <c r="O330" s="66"/>
      <c r="P330" s="66"/>
      <c r="Q330" s="66"/>
      <c r="R330" s="66"/>
      <c r="S330" s="66"/>
      <c r="T330" s="66"/>
      <c r="U330" s="66"/>
      <c r="V330" s="66"/>
      <c r="W330" s="66"/>
      <c r="X330" s="66"/>
      <c r="Y330" s="66"/>
      <c r="Z330" s="66"/>
      <c r="AA330" s="66"/>
      <c r="AB330" s="66"/>
      <c r="AC330" s="66"/>
      <c r="AD330" s="66"/>
      <c r="AE330" s="66"/>
      <c r="AF330" s="66"/>
      <c r="AG330" s="66"/>
      <c r="AH330" s="66"/>
      <c r="AI330" s="66"/>
      <c r="AJ330" s="66"/>
      <c r="AK330" s="66"/>
      <c r="AL330" s="66"/>
      <c r="AM330" s="66"/>
      <c r="AN330" s="66"/>
      <c r="AO330" s="66"/>
      <c r="AP330" s="66"/>
      <c r="AQ330" s="66"/>
      <c r="AR330" s="66"/>
      <c r="AS330" s="66"/>
      <c r="AT330" s="66"/>
      <c r="AU330" s="66"/>
      <c r="AV330" s="66"/>
      <c r="AW330" s="66"/>
      <c r="AX330" s="66"/>
      <c r="AY330" s="66"/>
      <c r="AZ330" s="66"/>
      <c r="BA330" s="66"/>
      <c r="BB330" s="66"/>
      <c r="BC330" s="66"/>
      <c r="BD330" s="66"/>
      <c r="BE330" s="66"/>
      <c r="BF330" s="66"/>
      <c r="BG330" s="66"/>
      <c r="BH330" s="66"/>
      <c r="BI330" s="66"/>
      <c r="BJ330" s="66"/>
      <c r="BK330" s="66"/>
      <c r="BL330" s="66"/>
      <c r="BM330" s="66"/>
      <c r="BN330" s="66"/>
      <c r="BO330" s="66"/>
      <c r="BP330" s="66"/>
      <c r="BQ330" s="66"/>
    </row>
    <row r="331" spans="1:69" s="70" customFormat="1" ht="14">
      <c r="A331" s="66"/>
      <c r="B331" s="66"/>
      <c r="C331" s="66"/>
      <c r="E331" s="66"/>
      <c r="F331" s="66"/>
      <c r="G331" s="66"/>
      <c r="H331" s="66"/>
      <c r="I331" s="66"/>
      <c r="J331" s="66"/>
      <c r="K331" s="66"/>
      <c r="L331" s="66"/>
      <c r="M331" s="66"/>
      <c r="N331" s="66"/>
      <c r="O331" s="66"/>
      <c r="P331" s="66"/>
      <c r="Q331" s="66"/>
      <c r="R331" s="66"/>
      <c r="S331" s="66"/>
      <c r="T331" s="66"/>
      <c r="U331" s="66"/>
      <c r="V331" s="66"/>
      <c r="W331" s="66"/>
      <c r="X331" s="66"/>
      <c r="Y331" s="66"/>
      <c r="Z331" s="66"/>
      <c r="AA331" s="66"/>
      <c r="AB331" s="66"/>
      <c r="AC331" s="66"/>
      <c r="AD331" s="66"/>
      <c r="AE331" s="66"/>
      <c r="AF331" s="66"/>
      <c r="AG331" s="66"/>
      <c r="AH331" s="66"/>
      <c r="AI331" s="66"/>
      <c r="AJ331" s="66"/>
      <c r="AK331" s="66"/>
      <c r="AL331" s="66"/>
      <c r="AM331" s="66"/>
      <c r="AN331" s="66"/>
      <c r="AO331" s="66"/>
      <c r="AP331" s="66"/>
      <c r="AQ331" s="66"/>
      <c r="AR331" s="66"/>
      <c r="AS331" s="66"/>
      <c r="AT331" s="66"/>
      <c r="AU331" s="66"/>
      <c r="AV331" s="66"/>
      <c r="AW331" s="66"/>
      <c r="AX331" s="66"/>
      <c r="AY331" s="66"/>
      <c r="AZ331" s="66"/>
      <c r="BA331" s="66"/>
      <c r="BB331" s="66"/>
      <c r="BC331" s="66"/>
      <c r="BD331" s="66"/>
      <c r="BE331" s="66"/>
      <c r="BF331" s="66"/>
      <c r="BG331" s="66"/>
      <c r="BH331" s="66"/>
      <c r="BI331" s="66"/>
      <c r="BJ331" s="66"/>
      <c r="BK331" s="66"/>
      <c r="BL331" s="66"/>
      <c r="BM331" s="66"/>
      <c r="BN331" s="66"/>
      <c r="BO331" s="66"/>
      <c r="BP331" s="66"/>
      <c r="BQ331" s="66"/>
    </row>
    <row r="332" spans="1:69" s="70" customFormat="1" ht="14">
      <c r="A332" s="66"/>
      <c r="B332" s="66"/>
      <c r="C332" s="66"/>
      <c r="D332" s="66"/>
      <c r="E332" s="66"/>
      <c r="F332" s="66"/>
      <c r="G332" s="66"/>
      <c r="H332" s="66"/>
      <c r="I332" s="66"/>
      <c r="J332" s="66"/>
      <c r="K332" s="66"/>
      <c r="L332" s="66"/>
      <c r="M332" s="66"/>
      <c r="N332" s="66"/>
      <c r="O332" s="66"/>
      <c r="P332" s="66"/>
      <c r="Q332" s="66"/>
      <c r="R332" s="66"/>
      <c r="S332" s="66"/>
      <c r="T332" s="66"/>
      <c r="U332" s="66"/>
      <c r="V332" s="66"/>
      <c r="W332" s="66"/>
      <c r="X332" s="66"/>
      <c r="Y332" s="66"/>
      <c r="Z332" s="66"/>
      <c r="AA332" s="66"/>
      <c r="AB332" s="66"/>
      <c r="AC332" s="66"/>
      <c r="AD332" s="66"/>
      <c r="AE332" s="66"/>
      <c r="AF332" s="66"/>
      <c r="AG332" s="66"/>
      <c r="AH332" s="66"/>
      <c r="AI332" s="66"/>
      <c r="AJ332" s="66"/>
      <c r="AK332" s="66"/>
      <c r="AL332" s="66"/>
      <c r="AM332" s="66"/>
      <c r="AN332" s="66"/>
      <c r="AO332" s="66"/>
      <c r="AP332" s="66"/>
      <c r="AQ332" s="66"/>
      <c r="AR332" s="66"/>
      <c r="AS332" s="66"/>
      <c r="AT332" s="66"/>
      <c r="AU332" s="66"/>
      <c r="AV332" s="66"/>
      <c r="AW332" s="66"/>
      <c r="AX332" s="66"/>
      <c r="AY332" s="66"/>
      <c r="AZ332" s="66"/>
      <c r="BA332" s="66"/>
      <c r="BB332" s="66"/>
      <c r="BC332" s="66"/>
      <c r="BD332" s="66"/>
      <c r="BE332" s="66"/>
      <c r="BF332" s="66"/>
      <c r="BG332" s="66"/>
      <c r="BH332" s="66"/>
      <c r="BI332" s="66"/>
      <c r="BJ332" s="66"/>
      <c r="BK332" s="66"/>
      <c r="BL332" s="66"/>
      <c r="BM332" s="66"/>
      <c r="BN332" s="66"/>
      <c r="BO332" s="66"/>
      <c r="BP332" s="66"/>
      <c r="BQ332" s="66"/>
    </row>
    <row r="333" spans="1:69" s="70" customFormat="1" ht="14">
      <c r="A333" s="66"/>
      <c r="B333" s="66"/>
      <c r="C333" s="66"/>
      <c r="D333" s="66"/>
      <c r="E333" s="66"/>
      <c r="F333" s="66"/>
      <c r="G333" s="66"/>
      <c r="H333" s="66"/>
      <c r="I333" s="66"/>
      <c r="J333" s="66"/>
      <c r="K333" s="66"/>
      <c r="L333" s="66"/>
      <c r="M333" s="66"/>
      <c r="N333" s="66"/>
      <c r="O333" s="66"/>
      <c r="P333" s="66"/>
      <c r="Q333" s="66"/>
      <c r="R333" s="66"/>
      <c r="S333" s="66"/>
      <c r="T333" s="66"/>
      <c r="U333" s="66"/>
      <c r="V333" s="66"/>
      <c r="W333" s="66"/>
      <c r="X333" s="66"/>
      <c r="Y333" s="66"/>
      <c r="Z333" s="66"/>
      <c r="AA333" s="66"/>
      <c r="AB333" s="66"/>
      <c r="AC333" s="66"/>
      <c r="AD333" s="66"/>
      <c r="AE333" s="66"/>
      <c r="AF333" s="66"/>
      <c r="AG333" s="66"/>
      <c r="AH333" s="66"/>
      <c r="AI333" s="66"/>
      <c r="AJ333" s="66"/>
      <c r="AK333" s="66"/>
      <c r="AL333" s="66"/>
      <c r="AM333" s="66"/>
      <c r="AN333" s="66"/>
      <c r="AO333" s="66"/>
      <c r="AP333" s="66"/>
      <c r="AQ333" s="66"/>
      <c r="AR333" s="66"/>
      <c r="AS333" s="66"/>
      <c r="AT333" s="66"/>
      <c r="AU333" s="66"/>
      <c r="AV333" s="66"/>
      <c r="AW333" s="66"/>
      <c r="AX333" s="66"/>
      <c r="AY333" s="66"/>
      <c r="AZ333" s="66"/>
      <c r="BA333" s="66"/>
      <c r="BB333" s="66"/>
      <c r="BC333" s="66"/>
      <c r="BD333" s="66"/>
      <c r="BE333" s="66"/>
      <c r="BF333" s="66"/>
      <c r="BG333" s="66"/>
      <c r="BH333" s="66"/>
      <c r="BI333" s="66"/>
      <c r="BJ333" s="66"/>
      <c r="BK333" s="66"/>
      <c r="BL333" s="66"/>
      <c r="BM333" s="66"/>
      <c r="BN333" s="66"/>
      <c r="BO333" s="66"/>
      <c r="BP333" s="66"/>
      <c r="BQ333" s="66"/>
    </row>
    <row r="334" spans="1:69" s="70" customFormat="1" ht="14">
      <c r="A334" s="66"/>
      <c r="B334" s="66"/>
      <c r="C334" s="66"/>
      <c r="D334" s="66"/>
      <c r="E334" s="66"/>
      <c r="F334" s="66"/>
      <c r="G334" s="66"/>
      <c r="H334" s="66"/>
      <c r="I334" s="66"/>
      <c r="J334" s="66"/>
      <c r="K334" s="66"/>
      <c r="L334" s="66"/>
      <c r="M334" s="66"/>
      <c r="N334" s="66"/>
      <c r="O334" s="66"/>
      <c r="P334" s="66"/>
      <c r="Q334" s="66"/>
      <c r="R334" s="66"/>
      <c r="S334" s="66"/>
      <c r="T334" s="66"/>
      <c r="U334" s="66"/>
      <c r="V334" s="66"/>
      <c r="W334" s="66"/>
      <c r="X334" s="66"/>
      <c r="Y334" s="66"/>
      <c r="Z334" s="66"/>
      <c r="AA334" s="66"/>
      <c r="AB334" s="66"/>
      <c r="AC334" s="66"/>
      <c r="AD334" s="66"/>
      <c r="AE334" s="66"/>
      <c r="AF334" s="66"/>
      <c r="AG334" s="66"/>
      <c r="AH334" s="66"/>
      <c r="AI334" s="66"/>
      <c r="AJ334" s="66"/>
      <c r="AK334" s="66"/>
      <c r="AL334" s="66"/>
      <c r="AM334" s="66"/>
      <c r="AN334" s="66"/>
      <c r="AO334" s="66"/>
      <c r="AP334" s="66"/>
      <c r="AQ334" s="66"/>
      <c r="AR334" s="66"/>
      <c r="AS334" s="66"/>
      <c r="AT334" s="66"/>
      <c r="AU334" s="66"/>
      <c r="AV334" s="66"/>
      <c r="AW334" s="66"/>
      <c r="AX334" s="66"/>
      <c r="AY334" s="66"/>
      <c r="AZ334" s="66"/>
      <c r="BA334" s="66"/>
      <c r="BB334" s="66"/>
      <c r="BC334" s="66"/>
      <c r="BD334" s="66"/>
      <c r="BE334" s="66"/>
      <c r="BF334" s="66"/>
      <c r="BG334" s="66"/>
      <c r="BH334" s="66"/>
      <c r="BI334" s="66"/>
      <c r="BJ334" s="66"/>
      <c r="BK334" s="66"/>
      <c r="BL334" s="66"/>
      <c r="BM334" s="66"/>
      <c r="BN334" s="66"/>
      <c r="BO334" s="66"/>
      <c r="BP334" s="66"/>
      <c r="BQ334" s="66"/>
    </row>
  </sheetData>
  <mergeCells count="2">
    <mergeCell ref="B4:C4"/>
    <mergeCell ref="D4:BQ4"/>
  </mergeCells>
  <phoneticPr fontId="3" type="noConversion"/>
  <printOptions horizontalCentered="1"/>
  <pageMargins left="0.25" right="0.25" top="0.75" bottom="0.75" header="0.3" footer="0.3"/>
  <pageSetup paperSize="9" scale="81" orientation="landscape" horizontalDpi="4294967293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B34AF6-4C15-3448-B428-65901C05D13A}">
  <sheetPr>
    <pageSetUpPr fitToPage="1"/>
  </sheetPr>
  <dimension ref="A1:N103"/>
  <sheetViews>
    <sheetView showGridLines="0" tabSelected="1" workbookViewId="0">
      <selection activeCell="B14" sqref="B14"/>
    </sheetView>
  </sheetViews>
  <sheetFormatPr baseColWidth="10" defaultRowHeight="13"/>
  <cols>
    <col min="1" max="1" width="26" customWidth="1"/>
    <col min="2" max="2" width="15.1640625" bestFit="1" customWidth="1"/>
    <col min="3" max="3" width="15.1640625" customWidth="1"/>
    <col min="4" max="4" width="15.6640625" bestFit="1" customWidth="1"/>
    <col min="5" max="5" width="16.33203125" customWidth="1"/>
    <col min="6" max="7" width="15.6640625" bestFit="1" customWidth="1"/>
    <col min="8" max="8" width="15.5" customWidth="1"/>
    <col min="9" max="9" width="16" customWidth="1"/>
    <col min="12" max="12" width="14.6640625" bestFit="1" customWidth="1"/>
  </cols>
  <sheetData>
    <row r="1" spans="1:13">
      <c r="A1" s="569" t="s">
        <v>379</v>
      </c>
      <c r="B1" s="570"/>
      <c r="C1" s="570"/>
      <c r="D1" s="570" t="s">
        <v>311</v>
      </c>
      <c r="E1" s="570" t="s">
        <v>312</v>
      </c>
      <c r="F1" s="570" t="s">
        <v>313</v>
      </c>
      <c r="G1" s="570" t="s">
        <v>314</v>
      </c>
      <c r="H1" s="570" t="s">
        <v>315</v>
      </c>
      <c r="I1" s="570" t="s">
        <v>316</v>
      </c>
      <c r="J1" s="570" t="s">
        <v>317</v>
      </c>
      <c r="K1" s="570" t="s">
        <v>318</v>
      </c>
      <c r="L1" s="570" t="s">
        <v>319</v>
      </c>
      <c r="M1" s="570" t="s">
        <v>320</v>
      </c>
    </row>
    <row r="2" spans="1:13">
      <c r="D2">
        <v>1</v>
      </c>
      <c r="E2">
        <v>2</v>
      </c>
      <c r="F2">
        <v>3</v>
      </c>
      <c r="G2">
        <v>4</v>
      </c>
      <c r="H2">
        <v>5</v>
      </c>
      <c r="I2">
        <v>6</v>
      </c>
      <c r="J2">
        <v>7</v>
      </c>
      <c r="K2">
        <v>8</v>
      </c>
      <c r="L2">
        <v>9</v>
      </c>
      <c r="M2">
        <v>10</v>
      </c>
    </row>
    <row r="3" spans="1:13">
      <c r="A3" s="571" t="s">
        <v>359</v>
      </c>
      <c r="B3" s="572"/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</row>
    <row r="5" spans="1:13">
      <c r="A5" s="574" t="s">
        <v>43</v>
      </c>
      <c r="D5" s="575">
        <v>0</v>
      </c>
      <c r="E5" s="575">
        <v>0</v>
      </c>
      <c r="F5" s="575">
        <v>0</v>
      </c>
      <c r="G5" s="575">
        <f>SUM(G6:G8)</f>
        <v>15660979.360517552</v>
      </c>
      <c r="H5" s="575">
        <f>G5</f>
        <v>15660979.360517552</v>
      </c>
      <c r="I5" s="575">
        <f t="shared" ref="I5" si="0">SUM(I6:I8)</f>
        <v>0</v>
      </c>
      <c r="J5" s="575">
        <f t="shared" ref="J5:M5" si="1">J6+J7</f>
        <v>0</v>
      </c>
      <c r="K5" s="575">
        <f t="shared" si="1"/>
        <v>0</v>
      </c>
      <c r="L5" s="575">
        <f t="shared" si="1"/>
        <v>0</v>
      </c>
      <c r="M5" s="575">
        <f t="shared" si="1"/>
        <v>0</v>
      </c>
    </row>
    <row r="6" spans="1:13">
      <c r="A6" s="574" t="s">
        <v>199</v>
      </c>
      <c r="B6" s="582"/>
      <c r="C6" s="582"/>
      <c r="D6" s="581">
        <v>0</v>
      </c>
      <c r="E6" s="581">
        <v>0</v>
      </c>
      <c r="F6" s="581">
        <v>0</v>
      </c>
      <c r="G6" s="581">
        <f>'Resid - BCase Base CF'!C105/2</f>
        <v>14380269.126692673</v>
      </c>
      <c r="H6" s="581">
        <f>G6</f>
        <v>14380269.126692673</v>
      </c>
      <c r="I6" s="575">
        <v>0</v>
      </c>
      <c r="J6" s="575">
        <v>0</v>
      </c>
      <c r="K6" s="575">
        <v>0</v>
      </c>
      <c r="L6" s="575">
        <v>0</v>
      </c>
      <c r="M6" s="575">
        <v>0</v>
      </c>
    </row>
    <row r="7" spans="1:13">
      <c r="A7" s="574" t="s">
        <v>36</v>
      </c>
      <c r="D7" s="581">
        <v>0</v>
      </c>
      <c r="E7" s="581">
        <v>0</v>
      </c>
      <c r="F7" s="581">
        <v>0</v>
      </c>
      <c r="G7" s="581">
        <f>'Resid - BCase Base CF'!C112/2</f>
        <v>1065006.1969244885</v>
      </c>
      <c r="H7" s="581">
        <f>G7</f>
        <v>1065006.1969244885</v>
      </c>
      <c r="I7" s="575">
        <v>0</v>
      </c>
      <c r="J7" s="575">
        <v>0</v>
      </c>
      <c r="K7" s="575">
        <v>0</v>
      </c>
      <c r="L7" s="575">
        <v>0</v>
      </c>
      <c r="M7" s="575">
        <v>0</v>
      </c>
    </row>
    <row r="8" spans="1:13">
      <c r="A8" s="574" t="s">
        <v>343</v>
      </c>
      <c r="D8" s="581">
        <f>(D6)*0.015</f>
        <v>0</v>
      </c>
      <c r="E8" s="581">
        <f t="shared" ref="E8:H8" si="2">(E6)*0.015</f>
        <v>0</v>
      </c>
      <c r="F8" s="581">
        <f t="shared" si="2"/>
        <v>0</v>
      </c>
      <c r="G8" s="581">
        <f t="shared" si="2"/>
        <v>215704.03690039009</v>
      </c>
      <c r="H8" s="581">
        <f t="shared" si="2"/>
        <v>215704.03690039009</v>
      </c>
      <c r="I8" s="575"/>
      <c r="J8" s="575"/>
      <c r="K8" s="575"/>
      <c r="L8" s="575"/>
      <c r="M8" s="575"/>
    </row>
    <row r="9" spans="1:13" ht="7" customHeight="1"/>
    <row r="10" spans="1:13">
      <c r="A10" s="576" t="s">
        <v>338</v>
      </c>
      <c r="B10" s="576"/>
      <c r="C10" s="576"/>
      <c r="D10" s="577">
        <f>D5</f>
        <v>0</v>
      </c>
      <c r="E10" s="577">
        <f t="shared" ref="E10:M10" si="3">E5</f>
        <v>0</v>
      </c>
      <c r="F10" s="577">
        <f t="shared" si="3"/>
        <v>0</v>
      </c>
      <c r="G10" s="577">
        <f t="shared" si="3"/>
        <v>15660979.360517552</v>
      </c>
      <c r="H10" s="577">
        <f t="shared" si="3"/>
        <v>15660979.360517552</v>
      </c>
      <c r="I10" s="577">
        <f t="shared" si="3"/>
        <v>0</v>
      </c>
      <c r="J10" s="577">
        <f t="shared" si="3"/>
        <v>0</v>
      </c>
      <c r="K10" s="577">
        <f t="shared" si="3"/>
        <v>0</v>
      </c>
      <c r="L10" s="577">
        <f t="shared" si="3"/>
        <v>0</v>
      </c>
      <c r="M10" s="577">
        <f t="shared" si="3"/>
        <v>0</v>
      </c>
    </row>
    <row r="11" spans="1:13" ht="7" customHeight="1"/>
    <row r="12" spans="1:13">
      <c r="A12" s="574" t="s">
        <v>327</v>
      </c>
      <c r="D12" s="575">
        <v>0</v>
      </c>
      <c r="E12" s="575">
        <v>0</v>
      </c>
      <c r="F12" s="575">
        <v>0</v>
      </c>
      <c r="G12" s="575">
        <f>SUM(G13:G14)</f>
        <v>-8981811.1799180005</v>
      </c>
      <c r="H12" s="575">
        <f t="shared" ref="H12:M12" si="4">SUM(H13:H14)</f>
        <v>-8981811.1799180005</v>
      </c>
      <c r="I12" s="575">
        <f t="shared" si="4"/>
        <v>0</v>
      </c>
      <c r="J12" s="575">
        <f t="shared" si="4"/>
        <v>0</v>
      </c>
      <c r="K12" s="575">
        <f t="shared" si="4"/>
        <v>0</v>
      </c>
      <c r="L12" s="575">
        <f t="shared" si="4"/>
        <v>0</v>
      </c>
      <c r="M12" s="575">
        <f t="shared" si="4"/>
        <v>0</v>
      </c>
    </row>
    <row r="13" spans="1:13">
      <c r="A13" s="580" t="s">
        <v>328</v>
      </c>
      <c r="D13" s="581">
        <v>0</v>
      </c>
      <c r="E13" s="581">
        <v>0</v>
      </c>
      <c r="F13" s="581">
        <v>0</v>
      </c>
      <c r="G13" s="581">
        <f>'Resid - BCase Base CF'!C117/2</f>
        <v>-8333893.9972999999</v>
      </c>
      <c r="H13" s="581">
        <f>G13</f>
        <v>-8333893.9972999999</v>
      </c>
      <c r="I13" s="581">
        <v>0</v>
      </c>
      <c r="J13" s="581">
        <v>0</v>
      </c>
      <c r="K13" s="581">
        <v>0</v>
      </c>
      <c r="L13" s="581">
        <v>0</v>
      </c>
      <c r="M13" s="581">
        <v>0</v>
      </c>
    </row>
    <row r="14" spans="1:13">
      <c r="A14" s="580" t="s">
        <v>329</v>
      </c>
      <c r="D14" s="581">
        <v>0</v>
      </c>
      <c r="E14" s="581">
        <v>0</v>
      </c>
      <c r="F14" s="581">
        <v>0</v>
      </c>
      <c r="G14" s="581">
        <f>'Resid - BCase Base CF'!C118/2</f>
        <v>-647917.18261799996</v>
      </c>
      <c r="H14" s="581">
        <f>G14</f>
        <v>-647917.18261799996</v>
      </c>
      <c r="I14" s="581">
        <v>0</v>
      </c>
      <c r="J14" s="581">
        <v>0</v>
      </c>
      <c r="K14" s="581">
        <v>0</v>
      </c>
      <c r="L14" s="581">
        <v>0</v>
      </c>
      <c r="M14" s="581">
        <v>0</v>
      </c>
    </row>
    <row r="15" spans="1:13">
      <c r="A15" s="574" t="s">
        <v>334</v>
      </c>
      <c r="D15" s="575">
        <f>SUM('Resid - BCase Base CF'!D119:O119)</f>
        <v>-443486.44616382511</v>
      </c>
      <c r="E15" s="575">
        <f>SUM('Resid - BCase Base CF'!P119:AA119)</f>
        <v>-352877.3113738955</v>
      </c>
      <c r="F15" s="575">
        <f>SUM('Resid - BCase Base CF'!AB119:AM119)</f>
        <v>-308787.78953389562</v>
      </c>
      <c r="G15" s="575">
        <f>SUM('Resid - BCase Base CF'!AN119:AY119)</f>
        <v>-240892.73090168511</v>
      </c>
      <c r="H15" s="575">
        <f>SUM('Resid - BCase Base CF'!AZ119:BK119)</f>
        <v>-112852.98924044808</v>
      </c>
      <c r="I15" s="575">
        <v>0</v>
      </c>
      <c r="J15" s="575">
        <v>0</v>
      </c>
      <c r="K15" s="575">
        <v>0</v>
      </c>
      <c r="L15" s="575">
        <v>0</v>
      </c>
      <c r="M15" s="575">
        <v>0</v>
      </c>
    </row>
    <row r="16" spans="1:13">
      <c r="A16" s="574" t="s">
        <v>321</v>
      </c>
      <c r="D16" s="575">
        <f>SUM('Resid - BCase Base CF'!D120:O120)</f>
        <v>-102567.16724431205</v>
      </c>
      <c r="E16" s="575">
        <f>SUM('Resid - BCase Base CF'!P120:AA120)</f>
        <v>-189918.618106512</v>
      </c>
      <c r="F16" s="575">
        <f>SUM('Resid - BCase Base CF'!AB120:AM120)</f>
        <v>-285830.46161352482</v>
      </c>
      <c r="G16" s="575">
        <f>SUM('Resid - BCase Base CF'!AN120:AY120)</f>
        <v>-826829.37525432266</v>
      </c>
      <c r="H16" s="575">
        <f>SUM('Resid - BCase Base CF'!AZ120:BK120)</f>
        <v>-453388.30788773275</v>
      </c>
      <c r="I16" s="575">
        <v>0</v>
      </c>
      <c r="J16" s="575">
        <v>0</v>
      </c>
      <c r="K16" s="575">
        <v>0</v>
      </c>
      <c r="L16" s="575">
        <v>0</v>
      </c>
      <c r="M16" s="575">
        <v>0</v>
      </c>
    </row>
    <row r="17" spans="1:14" ht="7" customHeight="1">
      <c r="A17" s="574"/>
    </row>
    <row r="18" spans="1:14">
      <c r="A18" s="576" t="s">
        <v>337</v>
      </c>
      <c r="B18" s="576"/>
      <c r="C18" s="576"/>
      <c r="D18" s="577">
        <f>D12+D15+D16</f>
        <v>-546053.61340813711</v>
      </c>
      <c r="E18" s="577">
        <f>E12+E15+E16</f>
        <v>-542795.9294804075</v>
      </c>
      <c r="F18" s="577">
        <f>F12+F15+F16</f>
        <v>-594618.25114742038</v>
      </c>
      <c r="G18" s="577">
        <f>G12+G15+G16</f>
        <v>-10049533.286074007</v>
      </c>
      <c r="H18" s="577">
        <f>H12+H15+H16</f>
        <v>-9548052.4770461824</v>
      </c>
      <c r="I18" s="577">
        <f>I12+I15+I16</f>
        <v>0</v>
      </c>
      <c r="J18" s="577">
        <f>J12+J15+J16</f>
        <v>0</v>
      </c>
      <c r="K18" s="577">
        <f>K12+K15+K16</f>
        <v>0</v>
      </c>
      <c r="L18" s="577">
        <f>L12+L15+L16</f>
        <v>0</v>
      </c>
      <c r="M18" s="577">
        <f>M12+M15+M16</f>
        <v>0</v>
      </c>
    </row>
    <row r="19" spans="1:14" ht="7" customHeight="1"/>
    <row r="20" spans="1:14">
      <c r="A20" s="583" t="s">
        <v>335</v>
      </c>
      <c r="B20" s="583"/>
      <c r="C20" s="583"/>
      <c r="D20" s="587">
        <f>D10+D18</f>
        <v>-546053.61340813711</v>
      </c>
      <c r="E20" s="587">
        <f>E10+E18</f>
        <v>-542795.9294804075</v>
      </c>
      <c r="F20" s="587">
        <f>F10+F18</f>
        <v>-594618.25114742038</v>
      </c>
      <c r="G20" s="587">
        <f>G10+G18</f>
        <v>5611446.0744435452</v>
      </c>
      <c r="H20" s="587">
        <f>H10+H18</f>
        <v>6112926.8834713697</v>
      </c>
      <c r="I20" s="587">
        <f>I10+I18</f>
        <v>0</v>
      </c>
      <c r="J20" s="587">
        <f>J10+J18</f>
        <v>0</v>
      </c>
      <c r="K20" s="587">
        <f>K10+K18</f>
        <v>0</v>
      </c>
      <c r="L20" s="587">
        <f>L10+L18</f>
        <v>0</v>
      </c>
      <c r="M20" s="587">
        <f>M10+M18</f>
        <v>0</v>
      </c>
    </row>
    <row r="21" spans="1:14" ht="7" customHeight="1"/>
    <row r="22" spans="1:14">
      <c r="A22" s="574" t="s">
        <v>322</v>
      </c>
      <c r="B22" s="586">
        <v>0</v>
      </c>
      <c r="C22" s="586"/>
      <c r="D22" s="582">
        <f>D47*-$B$22</f>
        <v>0</v>
      </c>
      <c r="E22" s="582">
        <f t="shared" ref="E22:H22" si="5">E47*-$B$22</f>
        <v>0</v>
      </c>
      <c r="F22" s="582">
        <f t="shared" si="5"/>
        <v>0</v>
      </c>
      <c r="G22" s="582">
        <f t="shared" si="5"/>
        <v>0</v>
      </c>
      <c r="H22" s="582">
        <f t="shared" si="5"/>
        <v>0</v>
      </c>
      <c r="I22" s="582">
        <v>0</v>
      </c>
      <c r="J22" s="582">
        <v>0</v>
      </c>
      <c r="K22" s="582">
        <v>0</v>
      </c>
      <c r="L22" s="582">
        <v>0</v>
      </c>
      <c r="M22" s="582">
        <v>0</v>
      </c>
    </row>
    <row r="23" spans="1:14" ht="7" customHeight="1"/>
    <row r="24" spans="1:14">
      <c r="A24" s="576" t="s">
        <v>323</v>
      </c>
      <c r="B24" s="576"/>
      <c r="C24" s="576"/>
      <c r="D24" s="577">
        <f>D20+D22</f>
        <v>-546053.61340813711</v>
      </c>
      <c r="E24" s="577">
        <f t="shared" ref="E24:M24" si="6">E20+E22</f>
        <v>-542795.9294804075</v>
      </c>
      <c r="F24" s="577">
        <f t="shared" si="6"/>
        <v>-594618.25114742038</v>
      </c>
      <c r="G24" s="577">
        <f t="shared" si="6"/>
        <v>5611446.0744435452</v>
      </c>
      <c r="H24" s="577">
        <f t="shared" si="6"/>
        <v>6112926.8834713697</v>
      </c>
      <c r="I24" s="577">
        <f t="shared" si="6"/>
        <v>0</v>
      </c>
      <c r="J24" s="577">
        <f t="shared" si="6"/>
        <v>0</v>
      </c>
      <c r="K24" s="577">
        <f t="shared" si="6"/>
        <v>0</v>
      </c>
      <c r="L24" s="577">
        <f t="shared" si="6"/>
        <v>0</v>
      </c>
      <c r="M24" s="577">
        <f t="shared" si="6"/>
        <v>0</v>
      </c>
    </row>
    <row r="25" spans="1:14" ht="7" customHeight="1"/>
    <row r="26" spans="1:14">
      <c r="A26" s="574" t="s">
        <v>324</v>
      </c>
      <c r="D26" s="575">
        <v>0</v>
      </c>
      <c r="E26" s="575">
        <v>0</v>
      </c>
      <c r="F26" s="575">
        <v>0</v>
      </c>
      <c r="G26" s="575">
        <v>0</v>
      </c>
      <c r="H26" s="575">
        <v>0</v>
      </c>
      <c r="I26" s="575">
        <v>0</v>
      </c>
      <c r="J26" s="575">
        <v>0</v>
      </c>
      <c r="K26" s="575">
        <v>0</v>
      </c>
      <c r="L26" s="575">
        <v>0</v>
      </c>
      <c r="M26" s="575">
        <v>0</v>
      </c>
    </row>
    <row r="27" spans="1:14" ht="7" customHeight="1"/>
    <row r="28" spans="1:14">
      <c r="A28" s="576" t="s">
        <v>325</v>
      </c>
      <c r="B28" s="576"/>
      <c r="C28" s="576"/>
      <c r="D28" s="577">
        <f>D24+D26</f>
        <v>-546053.61340813711</v>
      </c>
      <c r="E28" s="577">
        <f t="shared" ref="E28:M28" si="7">E24+E26</f>
        <v>-542795.9294804075</v>
      </c>
      <c r="F28" s="577">
        <f t="shared" si="7"/>
        <v>-594618.25114742038</v>
      </c>
      <c r="G28" s="577">
        <f t="shared" si="7"/>
        <v>5611446.0744435452</v>
      </c>
      <c r="H28" s="577">
        <f t="shared" si="7"/>
        <v>6112926.8834713697</v>
      </c>
      <c r="I28" s="577">
        <f t="shared" si="7"/>
        <v>0</v>
      </c>
      <c r="J28" s="577">
        <f t="shared" si="7"/>
        <v>0</v>
      </c>
      <c r="K28" s="577">
        <f t="shared" si="7"/>
        <v>0</v>
      </c>
      <c r="L28" s="577">
        <f t="shared" si="7"/>
        <v>0</v>
      </c>
      <c r="M28" s="577">
        <f t="shared" si="7"/>
        <v>0</v>
      </c>
    </row>
    <row r="29" spans="1:14" ht="7" customHeight="1"/>
    <row r="30" spans="1:14">
      <c r="A30" s="574" t="s">
        <v>339</v>
      </c>
      <c r="B30" s="586">
        <v>0.35</v>
      </c>
      <c r="C30" s="586"/>
      <c r="D30" s="575">
        <f>D24*-$B$30</f>
        <v>191118.76469284797</v>
      </c>
      <c r="E30" s="575">
        <f t="shared" ref="E30:H30" si="8">E24*-$B$30</f>
        <v>189978.57531814263</v>
      </c>
      <c r="F30" s="575">
        <f t="shared" si="8"/>
        <v>208116.38790159713</v>
      </c>
      <c r="G30" s="575">
        <f t="shared" si="8"/>
        <v>-1964006.1260552406</v>
      </c>
      <c r="H30" s="575">
        <f t="shared" si="8"/>
        <v>-2139524.4092149795</v>
      </c>
      <c r="I30" s="575">
        <v>0</v>
      </c>
      <c r="J30" s="575">
        <v>0</v>
      </c>
      <c r="K30" s="575">
        <v>0</v>
      </c>
      <c r="L30" s="575">
        <v>0</v>
      </c>
      <c r="M30" s="575">
        <v>0</v>
      </c>
    </row>
    <row r="31" spans="1:14" ht="7" customHeight="1"/>
    <row r="32" spans="1:14">
      <c r="A32" s="583" t="s">
        <v>336</v>
      </c>
      <c r="B32" s="583"/>
      <c r="C32" s="583"/>
      <c r="D32" s="584">
        <f>D20+D22+D26+D30</f>
        <v>-354934.84871528915</v>
      </c>
      <c r="E32" s="584">
        <f>E20+E22+E26+E30</f>
        <v>-352817.35416226485</v>
      </c>
      <c r="F32" s="584">
        <f>F20+F22+F26+F30</f>
        <v>-386501.86324582325</v>
      </c>
      <c r="G32" s="584">
        <f>G20+G22+G26+G30</f>
        <v>3647439.9483883046</v>
      </c>
      <c r="H32" s="584">
        <f>H20+H22+H26+H30</f>
        <v>3973402.4742563902</v>
      </c>
      <c r="I32" s="584">
        <f>I20+I22+I26+I30</f>
        <v>0</v>
      </c>
      <c r="J32" s="584">
        <f>J20+J22+J26+J30</f>
        <v>0</v>
      </c>
      <c r="K32" s="584">
        <f>K20+K22+K26+K30</f>
        <v>0</v>
      </c>
      <c r="L32" s="584">
        <f>L20+L22+L26+L30</f>
        <v>0</v>
      </c>
      <c r="M32" s="584">
        <f>M20+M22+M26+M30</f>
        <v>0</v>
      </c>
      <c r="N32" s="575"/>
    </row>
    <row r="34" spans="1:13" hidden="1">
      <c r="A34" s="574" t="s">
        <v>152</v>
      </c>
      <c r="D34" s="582">
        <f>'Resid - BCase Base CF'!O218</f>
        <v>2564179.1811078014</v>
      </c>
      <c r="E34" s="582">
        <f>'Resid - BCase Base CF'!AA218</f>
        <v>4747965.4526628004</v>
      </c>
      <c r="F34" s="582">
        <f>'Resid - BCase Base CF'!AM218</f>
        <v>7145761.5403381223</v>
      </c>
      <c r="G34" s="582">
        <f>'Resid - BCase Base CF'!AY218</f>
        <v>12109877.501136506</v>
      </c>
      <c r="H34" s="582">
        <f>'Resid - BCase Base CF'!BK218</f>
        <v>4754175.0457898853</v>
      </c>
      <c r="I34" s="582">
        <v>0</v>
      </c>
      <c r="J34" s="582"/>
      <c r="K34" s="582"/>
      <c r="L34" s="582"/>
      <c r="M34" s="582"/>
    </row>
    <row r="35" spans="1:13" hidden="1">
      <c r="A35" s="574" t="s">
        <v>151</v>
      </c>
      <c r="D35" s="588">
        <f>'Resid - BCase Base CF'!O95</f>
        <v>-3277076.8082722165</v>
      </c>
      <c r="E35" s="588">
        <f>'Resid - BCase Base CF'!AA95</f>
        <v>-2933706.1599262585</v>
      </c>
      <c r="F35" s="588">
        <f>'Resid - BCase Base CF'!AM95</f>
        <v>-7552925.2173968228</v>
      </c>
      <c r="G35" s="588">
        <f>'Resid - BCase Base CF'!AY95</f>
        <v>-6159311.4432741599</v>
      </c>
      <c r="H35" s="588">
        <f>'Resid - BCase Base CF'!BK95</f>
        <v>-1358033.9282866982</v>
      </c>
      <c r="I35" s="581"/>
      <c r="J35" s="581"/>
      <c r="K35" s="581"/>
      <c r="L35" s="581"/>
      <c r="M35" s="581"/>
    </row>
    <row r="36" spans="1:13" hidden="1">
      <c r="A36" s="580" t="s">
        <v>341</v>
      </c>
      <c r="D36" s="581">
        <f>D35-D15-D16</f>
        <v>-2731023.1948640794</v>
      </c>
      <c r="E36" s="581">
        <f>E35-E15-E16</f>
        <v>-2390910.2304458511</v>
      </c>
      <c r="F36" s="581">
        <f>F35-F15-F16</f>
        <v>-6958306.9662494026</v>
      </c>
      <c r="G36" s="581">
        <f>G35-G15-G16</f>
        <v>-5091589.3371181516</v>
      </c>
      <c r="H36" s="581">
        <f>H35-H15-H16</f>
        <v>-791792.63115851744</v>
      </c>
      <c r="I36" s="581"/>
      <c r="J36" s="581"/>
      <c r="K36" s="581"/>
      <c r="L36" s="581"/>
      <c r="M36" s="581"/>
    </row>
    <row r="37" spans="1:13" hidden="1">
      <c r="A37" s="580" t="s">
        <v>342</v>
      </c>
      <c r="D37" s="581">
        <f>D15+D16</f>
        <v>-546053.61340813711</v>
      </c>
      <c r="E37" s="581">
        <f>E15+E16</f>
        <v>-542795.9294804075</v>
      </c>
      <c r="F37" s="581">
        <f>F15+F16</f>
        <v>-594618.25114742038</v>
      </c>
      <c r="G37" s="581">
        <f>G15+G16</f>
        <v>-1067722.1061560079</v>
      </c>
      <c r="H37" s="581">
        <f>H15+H16</f>
        <v>-566241.29712818086</v>
      </c>
      <c r="I37" s="581"/>
      <c r="J37" s="581"/>
      <c r="K37" s="581"/>
      <c r="L37" s="581"/>
      <c r="M37" s="581"/>
    </row>
    <row r="38" spans="1:13" hidden="1">
      <c r="A38" s="574" t="s">
        <v>340</v>
      </c>
      <c r="D38" s="582">
        <f>D34+D35</f>
        <v>-712897.62716441508</v>
      </c>
      <c r="E38" s="582">
        <f>D38+E34+E35+D50+D69</f>
        <v>2064259.2927365419</v>
      </c>
      <c r="F38" s="582">
        <f t="shared" ref="F38" si="9">E38+F34+F35</f>
        <v>1657095.6156778419</v>
      </c>
      <c r="G38" s="582">
        <f>F38+G34+G35+SUM(D30:G30)</f>
        <v>6232869.2753975363</v>
      </c>
      <c r="H38" s="582">
        <f>G38+H34+H35+H30</f>
        <v>7489485.9836857449</v>
      </c>
      <c r="I38" s="582"/>
      <c r="J38" s="582"/>
      <c r="K38" s="582"/>
      <c r="L38" s="582"/>
      <c r="M38" s="582"/>
    </row>
    <row r="39" spans="1:13" hidden="1">
      <c r="A39" s="574" t="s">
        <v>13</v>
      </c>
      <c r="D39" s="582">
        <f>'Resid - BCase Base CF'!O228</f>
        <v>0</v>
      </c>
      <c r="E39" s="582">
        <f>'Resid - BCase Base CF'!AA228</f>
        <v>0</v>
      </c>
      <c r="F39" s="582">
        <f>'Resid - BCase Base CF'!AM228</f>
        <v>-476190.16719224001</v>
      </c>
      <c r="G39" s="582">
        <f>'Resid - BCase Base CF'!AY228</f>
        <v>263654.30839119753</v>
      </c>
      <c r="H39" s="582">
        <f>'Resid - BCase Base CF'!BK228</f>
        <v>192594.7747601736</v>
      </c>
      <c r="I39" s="582"/>
      <c r="J39" s="582"/>
      <c r="K39" s="582"/>
      <c r="L39" s="582"/>
      <c r="M39" s="582"/>
    </row>
    <row r="40" spans="1:13">
      <c r="D40" s="581"/>
      <c r="E40" s="581"/>
      <c r="F40" s="581"/>
      <c r="G40" s="581"/>
      <c r="H40" s="581"/>
      <c r="I40" s="581"/>
      <c r="J40" s="581"/>
      <c r="K40" s="581"/>
      <c r="L40" s="581"/>
      <c r="M40" s="581"/>
    </row>
    <row r="41" spans="1:13">
      <c r="A41" s="571" t="s">
        <v>360</v>
      </c>
      <c r="B41" s="572"/>
      <c r="C41" s="572"/>
      <c r="D41" s="572"/>
      <c r="E41" s="572"/>
      <c r="F41" s="572"/>
      <c r="G41" s="572"/>
      <c r="H41" s="572"/>
      <c r="I41" s="572"/>
      <c r="J41" s="572"/>
      <c r="K41" s="572"/>
      <c r="L41" s="572"/>
      <c r="M41" s="572"/>
    </row>
    <row r="42" spans="1:13">
      <c r="D42" s="581"/>
      <c r="E42" s="581"/>
      <c r="F42" s="581"/>
      <c r="G42" s="581"/>
      <c r="H42" s="581"/>
      <c r="I42" s="581"/>
      <c r="J42" s="581"/>
      <c r="K42" s="581"/>
      <c r="L42" s="581"/>
      <c r="M42" s="581"/>
    </row>
    <row r="43" spans="1:13" s="573" customFormat="1">
      <c r="A43" s="573" t="s">
        <v>353</v>
      </c>
      <c r="D43" s="590"/>
      <c r="E43" s="590"/>
      <c r="F43" s="590"/>
      <c r="G43" s="590"/>
      <c r="H43" s="590"/>
      <c r="I43" s="590"/>
      <c r="J43" s="590"/>
      <c r="K43" s="590"/>
      <c r="L43" s="590"/>
      <c r="M43" s="590"/>
    </row>
    <row r="44" spans="1:13">
      <c r="D44" s="581"/>
      <c r="E44" s="581"/>
      <c r="F44" s="581"/>
      <c r="G44" s="581"/>
      <c r="H44" s="581"/>
      <c r="I44" s="581"/>
      <c r="J44" s="581"/>
      <c r="K44" s="581"/>
      <c r="L44" s="581"/>
      <c r="M44" s="581"/>
    </row>
    <row r="45" spans="1:13">
      <c r="A45" s="574" t="s">
        <v>93</v>
      </c>
      <c r="C45" s="582">
        <v>0</v>
      </c>
      <c r="D45" s="582">
        <f>-'Resid - BCase Base CF'!D53</f>
        <v>1932400</v>
      </c>
      <c r="E45" s="582">
        <f>D45</f>
        <v>1932400</v>
      </c>
      <c r="F45" s="582">
        <f>E45</f>
        <v>1932400</v>
      </c>
      <c r="G45" s="582">
        <f>F45/2</f>
        <v>966200</v>
      </c>
      <c r="H45" s="582">
        <f>0</f>
        <v>0</v>
      </c>
      <c r="I45" s="582">
        <v>0</v>
      </c>
      <c r="J45" s="582">
        <v>0</v>
      </c>
      <c r="K45" s="582">
        <v>0</v>
      </c>
      <c r="L45" s="582">
        <v>0</v>
      </c>
      <c r="M45" s="582">
        <v>0</v>
      </c>
    </row>
    <row r="46" spans="1:13">
      <c r="A46" s="574"/>
      <c r="D46" s="582"/>
      <c r="E46" s="582"/>
      <c r="F46" s="582"/>
      <c r="G46" s="582"/>
      <c r="H46" s="582"/>
      <c r="I46" s="582"/>
      <c r="J46" s="582"/>
      <c r="K46" s="582"/>
      <c r="L46" s="589">
        <f>SUM(G13:G14)</f>
        <v>-8981811.1799180005</v>
      </c>
      <c r="M46" s="582"/>
    </row>
    <row r="47" spans="1:13">
      <c r="A47" s="574" t="s">
        <v>344</v>
      </c>
      <c r="C47" s="582">
        <v>0</v>
      </c>
      <c r="D47" s="582">
        <f>-D36-D45</f>
        <v>798623.19486407936</v>
      </c>
      <c r="E47" s="582">
        <f>D47-E36</f>
        <v>3189533.4253099305</v>
      </c>
      <c r="F47" s="582">
        <f>E47-F36</f>
        <v>10147840.391559333</v>
      </c>
      <c r="G47" s="582">
        <f>F47-G36+L47</f>
        <v>7223818.5487594847</v>
      </c>
      <c r="H47" s="582">
        <f>G47-H36+L47</f>
        <v>0</v>
      </c>
      <c r="I47" s="582">
        <f>H47-I36</f>
        <v>0</v>
      </c>
      <c r="J47" s="582">
        <v>0</v>
      </c>
      <c r="K47" s="582">
        <v>0</v>
      </c>
      <c r="L47" s="589">
        <f>L46+F45/2</f>
        <v>-8015611.1799180005</v>
      </c>
      <c r="M47" s="582"/>
    </row>
    <row r="48" spans="1:13">
      <c r="A48" s="574" t="s">
        <v>354</v>
      </c>
      <c r="C48" s="582">
        <v>0</v>
      </c>
      <c r="D48" s="582">
        <f>D22</f>
        <v>0</v>
      </c>
      <c r="E48" s="582">
        <f>D48+E22</f>
        <v>0</v>
      </c>
      <c r="F48" s="582">
        <f>E48+F22</f>
        <v>0</v>
      </c>
      <c r="G48" s="582">
        <f>F48+G22</f>
        <v>0</v>
      </c>
      <c r="H48" s="582">
        <f>G48+H22</f>
        <v>0</v>
      </c>
      <c r="I48" s="582">
        <f>H48+I22</f>
        <v>0</v>
      </c>
      <c r="J48" s="582"/>
      <c r="K48" s="582"/>
      <c r="L48" s="589"/>
      <c r="M48" s="582"/>
    </row>
    <row r="49" spans="1:14">
      <c r="A49" s="574"/>
      <c r="D49" s="582"/>
      <c r="E49" s="582"/>
      <c r="F49" s="582"/>
      <c r="G49" s="582"/>
      <c r="H49" s="582"/>
      <c r="I49" s="582"/>
      <c r="J49" s="582"/>
      <c r="K49" s="582"/>
      <c r="L49" s="589"/>
      <c r="M49" s="582"/>
    </row>
    <row r="50" spans="1:14">
      <c r="A50" s="574" t="s">
        <v>358</v>
      </c>
      <c r="C50" s="582">
        <v>250000</v>
      </c>
      <c r="D50" s="582">
        <v>250000</v>
      </c>
      <c r="E50" s="582">
        <f>D50+E34+E35</f>
        <v>2064259.2927365419</v>
      </c>
      <c r="F50" s="582">
        <f>E50+F34+F35+F39</f>
        <v>1180905.4484856019</v>
      </c>
      <c r="G50" s="582">
        <f>F50+F52+G34+G35+G30+G39-G53</f>
        <v>5807797.5577954501</v>
      </c>
      <c r="H50" s="582">
        <f>G50+H34+H35+H30+H39+G53</f>
        <v>7469544.8996448759</v>
      </c>
      <c r="I50" s="582"/>
      <c r="J50" s="582"/>
      <c r="K50" s="582"/>
      <c r="L50" s="589">
        <f>F50+G32+F52</f>
        <v>5417559.1247864943</v>
      </c>
      <c r="M50" s="582"/>
    </row>
    <row r="51" spans="1:14">
      <c r="A51" s="574"/>
      <c r="D51" s="582"/>
      <c r="E51" s="582"/>
      <c r="F51" s="582"/>
      <c r="G51" s="582"/>
      <c r="H51" s="582"/>
      <c r="I51" s="582"/>
      <c r="J51" s="582"/>
      <c r="K51" s="582"/>
      <c r="L51" s="582"/>
      <c r="M51" s="582"/>
    </row>
    <row r="52" spans="1:14">
      <c r="A52" s="574" t="s">
        <v>348</v>
      </c>
      <c r="C52" s="582">
        <v>0</v>
      </c>
      <c r="D52" s="582">
        <f>D30</f>
        <v>191118.76469284797</v>
      </c>
      <c r="E52" s="582">
        <f>D52+E30</f>
        <v>381097.34001099062</v>
      </c>
      <c r="F52" s="582">
        <f>E52+F30</f>
        <v>589213.72791258781</v>
      </c>
      <c r="G52" s="582"/>
      <c r="H52" s="582"/>
      <c r="I52" s="582"/>
      <c r="J52" s="582"/>
      <c r="K52" s="582"/>
      <c r="L52" s="582"/>
      <c r="M52" s="582"/>
    </row>
    <row r="53" spans="1:14">
      <c r="A53" s="574" t="s">
        <v>351</v>
      </c>
      <c r="C53" s="582">
        <v>0</v>
      </c>
      <c r="D53" s="582"/>
      <c r="E53" s="582"/>
      <c r="F53" s="582">
        <f>-F39</f>
        <v>476190.16719224001</v>
      </c>
      <c r="G53" s="582">
        <f>F53-G39</f>
        <v>212535.85880104249</v>
      </c>
      <c r="H53" s="582">
        <f>G53-H39</f>
        <v>19941.084040868882</v>
      </c>
      <c r="I53" s="582"/>
      <c r="J53" s="582"/>
      <c r="K53" s="582"/>
      <c r="L53" s="582"/>
      <c r="M53" s="582"/>
    </row>
    <row r="54" spans="1:14">
      <c r="A54" s="574"/>
      <c r="C54" s="582"/>
      <c r="D54" s="582"/>
      <c r="E54" s="582"/>
      <c r="F54" s="582"/>
      <c r="G54" s="582"/>
      <c r="H54" s="582"/>
      <c r="I54" s="582"/>
      <c r="J54" s="582"/>
      <c r="K54" s="582"/>
      <c r="L54" s="582"/>
      <c r="M54" s="582"/>
    </row>
    <row r="55" spans="1:14">
      <c r="A55" s="583" t="s">
        <v>357</v>
      </c>
      <c r="B55" s="583"/>
      <c r="C55" s="584">
        <f>C45+C50</f>
        <v>250000</v>
      </c>
      <c r="D55" s="584">
        <f>D45+D47+D48+D52+D50</f>
        <v>3172141.9595569274</v>
      </c>
      <c r="E55" s="584">
        <f>E45+E47+E48+E52+E50</f>
        <v>7567290.0580574628</v>
      </c>
      <c r="F55" s="584">
        <f>F45+F47+F48+F52+F50+F53</f>
        <v>14326549.735149762</v>
      </c>
      <c r="G55" s="584">
        <f>G45+G47+G48+G52+G50+G53</f>
        <v>14210351.965355977</v>
      </c>
      <c r="H55" s="584">
        <f>H45+H47+H48+H52+H50+H53</f>
        <v>7489485.9836857449</v>
      </c>
      <c r="I55" s="584"/>
      <c r="J55" s="584"/>
      <c r="K55" s="584"/>
      <c r="L55" s="584"/>
      <c r="M55" s="584"/>
      <c r="N55" s="575"/>
    </row>
    <row r="56" spans="1:14">
      <c r="A56" s="574"/>
      <c r="D56" s="582"/>
      <c r="E56" s="582"/>
      <c r="F56" s="582"/>
      <c r="G56" s="582"/>
      <c r="H56" s="582"/>
      <c r="I56" s="582"/>
      <c r="J56" s="582"/>
      <c r="K56" s="582"/>
      <c r="L56" s="582"/>
      <c r="M56" s="582"/>
    </row>
    <row r="57" spans="1:14">
      <c r="A57" s="573" t="s">
        <v>355</v>
      </c>
      <c r="B57" s="573"/>
      <c r="C57" s="573"/>
      <c r="D57" s="590"/>
      <c r="E57" s="590"/>
      <c r="F57" s="590"/>
      <c r="G57" s="590"/>
      <c r="H57" s="590"/>
      <c r="I57" s="590"/>
      <c r="J57" s="590"/>
      <c r="K57" s="590"/>
      <c r="L57" s="590"/>
      <c r="M57" s="590"/>
      <c r="N57" s="573"/>
    </row>
    <row r="58" spans="1:14" s="573" customFormat="1">
      <c r="A58" s="580"/>
      <c r="B58"/>
      <c r="C58"/>
      <c r="D58" s="581"/>
      <c r="E58" s="581"/>
      <c r="F58" s="581"/>
      <c r="G58" s="581"/>
      <c r="H58" s="581"/>
      <c r="I58" s="581"/>
      <c r="J58" s="581"/>
      <c r="K58" s="581"/>
      <c r="L58" s="581"/>
      <c r="M58" s="581"/>
      <c r="N58"/>
    </row>
    <row r="59" spans="1:14" s="593" customFormat="1">
      <c r="A59" s="591" t="s">
        <v>346</v>
      </c>
      <c r="B59" s="591"/>
      <c r="C59" s="591"/>
      <c r="D59" s="592"/>
      <c r="E59" s="592"/>
      <c r="F59" s="592"/>
      <c r="G59" s="592"/>
      <c r="H59" s="592"/>
      <c r="I59" s="592"/>
      <c r="J59" s="592"/>
      <c r="K59" s="592"/>
      <c r="L59" s="592"/>
      <c r="M59" s="592"/>
      <c r="N59" s="591"/>
    </row>
    <row r="60" spans="1:14" s="573" customFormat="1">
      <c r="A60" s="580"/>
      <c r="B60"/>
      <c r="C60"/>
      <c r="D60" s="581"/>
      <c r="E60" s="581"/>
      <c r="F60" s="581"/>
      <c r="G60" s="581"/>
      <c r="H60" s="581"/>
      <c r="I60" s="581"/>
      <c r="J60" s="581"/>
      <c r="K60" s="581"/>
      <c r="L60" s="581"/>
      <c r="M60" s="581"/>
      <c r="N60"/>
    </row>
    <row r="61" spans="1:14">
      <c r="A61" s="574" t="s">
        <v>345</v>
      </c>
      <c r="C61" s="582">
        <v>0</v>
      </c>
      <c r="D61" s="582">
        <f>D34</f>
        <v>2564179.1811078014</v>
      </c>
      <c r="E61" s="582">
        <f>D61+E34</f>
        <v>7312144.6337706018</v>
      </c>
      <c r="F61" s="582">
        <f>E61+F34</f>
        <v>14457906.174108725</v>
      </c>
      <c r="G61" s="582">
        <f>F61+G34-G5</f>
        <v>10906804.314727681</v>
      </c>
      <c r="H61" s="582">
        <f>G61+H34-H5</f>
        <v>0</v>
      </c>
      <c r="I61" s="582">
        <v>0</v>
      </c>
      <c r="J61" s="582">
        <v>0</v>
      </c>
      <c r="K61" s="582">
        <v>0</v>
      </c>
      <c r="L61" s="589">
        <v>0</v>
      </c>
      <c r="M61" s="582">
        <v>0</v>
      </c>
    </row>
    <row r="62" spans="1:14">
      <c r="A62" s="574"/>
      <c r="D62" s="582"/>
      <c r="E62" s="582"/>
      <c r="F62" s="582"/>
      <c r="G62" s="582"/>
      <c r="H62" s="582"/>
      <c r="I62" s="582"/>
      <c r="J62" s="582"/>
      <c r="K62" s="582"/>
      <c r="L62" s="589"/>
      <c r="M62" s="582"/>
    </row>
    <row r="63" spans="1:14">
      <c r="A63" s="583" t="s">
        <v>356</v>
      </c>
      <c r="B63" s="583"/>
      <c r="C63" s="584">
        <f>C61</f>
        <v>0</v>
      </c>
      <c r="D63" s="584">
        <f t="shared" ref="D63:H63" si="10">D61</f>
        <v>2564179.1811078014</v>
      </c>
      <c r="E63" s="584">
        <f t="shared" si="10"/>
        <v>7312144.6337706018</v>
      </c>
      <c r="F63" s="584">
        <f t="shared" si="10"/>
        <v>14457906.174108725</v>
      </c>
      <c r="G63" s="584">
        <f t="shared" si="10"/>
        <v>10906804.314727681</v>
      </c>
      <c r="H63" s="584">
        <f t="shared" si="10"/>
        <v>0</v>
      </c>
      <c r="I63" s="584"/>
      <c r="J63" s="584"/>
      <c r="K63" s="584"/>
      <c r="L63" s="584"/>
      <c r="M63" s="584"/>
      <c r="N63" s="575"/>
    </row>
    <row r="64" spans="1:14">
      <c r="A64" s="574"/>
      <c r="D64" s="582"/>
      <c r="E64" s="582"/>
      <c r="F64" s="582"/>
      <c r="G64" s="582"/>
      <c r="H64" s="582"/>
      <c r="I64" s="582"/>
      <c r="J64" s="582"/>
      <c r="K64" s="582"/>
      <c r="L64" s="589"/>
      <c r="M64" s="582"/>
    </row>
    <row r="65" spans="1:14" s="593" customFormat="1">
      <c r="A65" s="591" t="s">
        <v>347</v>
      </c>
      <c r="B65" s="591"/>
      <c r="C65" s="591"/>
      <c r="D65" s="592"/>
      <c r="E65" s="592"/>
      <c r="F65" s="592"/>
      <c r="G65" s="592"/>
      <c r="H65" s="592"/>
      <c r="I65" s="592"/>
      <c r="J65" s="592"/>
      <c r="K65" s="592"/>
      <c r="L65" s="592"/>
      <c r="M65" s="592"/>
      <c r="N65" s="591"/>
    </row>
    <row r="66" spans="1:14">
      <c r="A66" s="574"/>
    </row>
    <row r="67" spans="1:14">
      <c r="A67" s="574" t="s">
        <v>352</v>
      </c>
      <c r="C67" s="582">
        <v>0</v>
      </c>
      <c r="D67" s="582">
        <f>D32</f>
        <v>-354934.84871528915</v>
      </c>
      <c r="E67" s="582">
        <f>E32</f>
        <v>-352817.35416226485</v>
      </c>
      <c r="F67" s="582">
        <f>F32</f>
        <v>-386501.86324582325</v>
      </c>
      <c r="G67" s="582">
        <f>G32</f>
        <v>3647439.9483883046</v>
      </c>
      <c r="H67" s="582">
        <f>H32</f>
        <v>3973402.4742563902</v>
      </c>
    </row>
    <row r="68" spans="1:14">
      <c r="A68" s="574" t="s">
        <v>350</v>
      </c>
      <c r="C68" s="582">
        <f>C50</f>
        <v>250000</v>
      </c>
      <c r="D68" s="582"/>
    </row>
    <row r="69" spans="1:14">
      <c r="A69" s="574" t="s">
        <v>349</v>
      </c>
      <c r="D69" s="582">
        <f>(D34+D35)*-1</f>
        <v>712897.62716441508</v>
      </c>
      <c r="E69" s="582">
        <v>0</v>
      </c>
      <c r="F69" s="582">
        <v>0</v>
      </c>
      <c r="G69">
        <v>0</v>
      </c>
    </row>
    <row r="70" spans="1:14">
      <c r="A70" s="574"/>
      <c r="D70" s="582"/>
      <c r="E70" s="582"/>
      <c r="F70" s="582"/>
    </row>
    <row r="71" spans="1:14">
      <c r="A71" s="583" t="s">
        <v>361</v>
      </c>
      <c r="B71" s="583"/>
      <c r="C71" s="584">
        <f>C55</f>
        <v>250000</v>
      </c>
      <c r="D71" s="584">
        <f>D55-D61</f>
        <v>607962.77844912605</v>
      </c>
      <c r="E71" s="584">
        <f>E55-E61</f>
        <v>255145.42428686097</v>
      </c>
      <c r="F71" s="584">
        <f>F55-F61</f>
        <v>-131356.43895896338</v>
      </c>
      <c r="G71" s="584">
        <f>F71+G67</f>
        <v>3516083.5094293412</v>
      </c>
      <c r="H71" s="584">
        <f>G71+H67</f>
        <v>7489485.9836857319</v>
      </c>
      <c r="I71" s="584"/>
      <c r="J71" s="584"/>
      <c r="K71" s="584"/>
      <c r="L71" s="584"/>
      <c r="M71" s="584"/>
      <c r="N71" s="575"/>
    </row>
    <row r="72" spans="1:14" s="576" customFormat="1">
      <c r="A72"/>
      <c r="B72"/>
      <c r="C72"/>
      <c r="D72"/>
      <c r="E72"/>
      <c r="F72"/>
      <c r="G72"/>
      <c r="H72"/>
      <c r="I72"/>
      <c r="J72"/>
      <c r="K72"/>
      <c r="L72"/>
      <c r="M72"/>
      <c r="N72"/>
    </row>
    <row r="73" spans="1:14">
      <c r="D73" s="582">
        <f>C71+D67+D69</f>
        <v>607962.77844912594</v>
      </c>
      <c r="E73" s="582">
        <f>D71+E67+E69</f>
        <v>255145.42428686121</v>
      </c>
      <c r="F73" s="582">
        <f>E71+F67+F69</f>
        <v>-131356.43895896227</v>
      </c>
      <c r="G73" s="582">
        <f>F71+G67+G69</f>
        <v>3516083.5094293412</v>
      </c>
      <c r="H73" s="582">
        <f>H55-H61</f>
        <v>7489485.9836857449</v>
      </c>
    </row>
    <row r="74" spans="1:14">
      <c r="E74" s="582"/>
    </row>
    <row r="76" spans="1:14">
      <c r="H76" s="582">
        <f>H73-H71</f>
        <v>1.3038516044616699E-8</v>
      </c>
    </row>
    <row r="84" spans="1:13">
      <c r="A84" s="574"/>
    </row>
    <row r="85" spans="1:13">
      <c r="A85" s="576"/>
      <c r="B85" s="576"/>
      <c r="C85" s="576"/>
      <c r="D85" s="577"/>
      <c r="E85" s="577"/>
      <c r="F85" s="577"/>
      <c r="G85" s="577"/>
      <c r="H85" s="577"/>
      <c r="I85" s="577"/>
      <c r="J85" s="577"/>
      <c r="K85" s="577"/>
      <c r="L85" s="577"/>
      <c r="M85" s="577"/>
    </row>
    <row r="87" spans="1:13">
      <c r="A87" s="578"/>
      <c r="B87" s="578"/>
      <c r="C87" s="578"/>
      <c r="D87" s="579"/>
      <c r="E87" s="579"/>
      <c r="F87" s="579"/>
      <c r="G87" s="579"/>
      <c r="H87" s="579"/>
      <c r="I87" s="579"/>
      <c r="J87" s="579"/>
      <c r="K87" s="579"/>
      <c r="L87" s="579"/>
      <c r="M87" s="579"/>
    </row>
    <row r="89" spans="1:13">
      <c r="A89" s="583"/>
      <c r="B89" s="583"/>
      <c r="C89" s="583"/>
      <c r="D89" s="584"/>
      <c r="E89" s="584"/>
      <c r="F89" s="584"/>
      <c r="G89" s="584"/>
      <c r="H89" s="584"/>
      <c r="I89" s="584"/>
      <c r="J89" s="584"/>
      <c r="K89" s="584"/>
      <c r="L89" s="584"/>
      <c r="M89" s="584"/>
    </row>
    <row r="91" spans="1:13">
      <c r="A91" s="574"/>
      <c r="D91" s="582"/>
      <c r="E91" s="582"/>
      <c r="F91" s="582"/>
      <c r="G91" s="582"/>
      <c r="H91" s="582"/>
      <c r="I91" s="582"/>
      <c r="J91" s="582"/>
      <c r="K91" s="582"/>
      <c r="L91" s="582"/>
      <c r="M91" s="582"/>
    </row>
    <row r="92" spans="1:13">
      <c r="A92" s="580"/>
      <c r="B92" s="580"/>
      <c r="C92" s="580"/>
      <c r="D92" s="581"/>
      <c r="E92" s="581"/>
      <c r="F92" s="581"/>
      <c r="G92" s="581"/>
      <c r="H92" s="581"/>
      <c r="I92" s="581"/>
      <c r="J92" s="581"/>
      <c r="K92" s="581"/>
      <c r="L92" s="581"/>
      <c r="M92" s="581"/>
    </row>
    <row r="93" spans="1:13">
      <c r="A93" s="580"/>
      <c r="B93" s="580"/>
      <c r="C93" s="580"/>
      <c r="D93" s="581"/>
      <c r="E93" s="581"/>
      <c r="F93" s="581"/>
      <c r="G93" s="581"/>
      <c r="H93" s="581"/>
      <c r="I93" s="581"/>
      <c r="J93" s="581"/>
      <c r="K93" s="581"/>
      <c r="L93" s="581"/>
      <c r="M93" s="581"/>
    </row>
    <row r="95" spans="1:13">
      <c r="A95" s="576"/>
      <c r="B95" s="576"/>
      <c r="C95" s="576"/>
      <c r="D95" s="585"/>
      <c r="E95" s="585"/>
      <c r="F95" s="585"/>
      <c r="G95" s="585"/>
      <c r="H95" s="585"/>
      <c r="I95" s="585"/>
      <c r="J95" s="585"/>
      <c r="K95" s="585"/>
      <c r="L95" s="585"/>
      <c r="M95" s="585"/>
    </row>
    <row r="97" spans="1:13">
      <c r="A97" s="574"/>
      <c r="D97" s="575"/>
      <c r="E97" s="575"/>
      <c r="F97" s="575"/>
      <c r="G97" s="575"/>
      <c r="H97" s="575"/>
      <c r="I97" s="575"/>
      <c r="J97" s="575"/>
      <c r="K97" s="575"/>
      <c r="L97" s="575"/>
      <c r="M97" s="575"/>
    </row>
    <row r="99" spans="1:13">
      <c r="A99" s="576"/>
      <c r="B99" s="576"/>
      <c r="C99" s="576"/>
      <c r="D99" s="585"/>
      <c r="E99" s="585"/>
      <c r="F99" s="585"/>
      <c r="G99" s="585"/>
      <c r="H99" s="585"/>
      <c r="I99" s="585"/>
      <c r="J99" s="585"/>
      <c r="K99" s="585"/>
      <c r="L99" s="585"/>
      <c r="M99" s="585"/>
    </row>
    <row r="101" spans="1:13">
      <c r="A101" s="574"/>
      <c r="B101" s="586"/>
      <c r="C101" s="586"/>
      <c r="D101" s="575"/>
      <c r="E101" s="575"/>
      <c r="F101" s="575"/>
      <c r="G101" s="575"/>
      <c r="H101" s="575"/>
      <c r="I101" s="575"/>
      <c r="J101" s="575"/>
      <c r="K101" s="575"/>
      <c r="L101" s="575"/>
      <c r="M101" s="575"/>
    </row>
    <row r="103" spans="1:13">
      <c r="A103" s="583"/>
      <c r="B103" s="583"/>
      <c r="C103" s="583"/>
      <c r="D103" s="584"/>
      <c r="E103" s="584"/>
      <c r="F103" s="584"/>
      <c r="G103" s="584"/>
      <c r="H103" s="584"/>
      <c r="I103" s="584"/>
      <c r="J103" s="584"/>
      <c r="K103" s="584"/>
      <c r="L103" s="584"/>
      <c r="M103" s="584"/>
    </row>
  </sheetData>
  <pageMargins left="0.7" right="0.7" top="0.75" bottom="0.75" header="0.3" footer="0.3"/>
  <pageSetup paperSize="9" scale="60"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MCCA</vt:lpstr>
      <vt:lpstr>Resid - Datos</vt:lpstr>
      <vt:lpstr>Resid - BCase Base CF</vt:lpstr>
      <vt:lpstr>EECC Resid</vt:lpstr>
      <vt:lpstr>'EECC Resid'!Print_Area</vt:lpstr>
      <vt:lpstr>MCCA!Print_Area</vt:lpstr>
      <vt:lpstr>'Resid - BCase Base CF'!Print_Area</vt:lpstr>
      <vt:lpstr>'Resid - Datos'!Print_Area</vt:lpstr>
    </vt:vector>
  </TitlesOfParts>
  <Company>arielk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Adiaz</dc:creator>
  <cp:lastModifiedBy>Agustín Kluz</cp:lastModifiedBy>
  <cp:lastPrinted>2020-07-03T03:22:37Z</cp:lastPrinted>
  <dcterms:created xsi:type="dcterms:W3CDTF">2009-11-10T20:08:21Z</dcterms:created>
  <dcterms:modified xsi:type="dcterms:W3CDTF">2020-07-03T22:47:02Z</dcterms:modified>
</cp:coreProperties>
</file>