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14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agustinkluz/Desktop/Trabajo Final 2020/Para entregar/"/>
    </mc:Choice>
  </mc:AlternateContent>
  <xr:revisionPtr revIDLastSave="0" documentId="13_ncr:1_{36D813FF-DD44-734F-B5AF-1BF89D7C1FF7}" xr6:coauthVersionLast="45" xr6:coauthVersionMax="45" xr10:uidLastSave="{00000000-0000-0000-0000-000000000000}"/>
  <bookViews>
    <workbookView xWindow="2500" yWindow="5500" windowWidth="38400" windowHeight="23540" activeTab="1" xr2:uid="{00000000-000D-0000-FFFF-FFFF00000000}"/>
  </bookViews>
  <sheets>
    <sheet name="Masterplan" sheetId="4" r:id="rId1"/>
    <sheet name="B Case Gral" sheetId="5" r:id="rId2"/>
    <sheet name="EERR" sheetId="7" r:id="rId3"/>
    <sheet name="Balance" sheetId="6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</externalReferences>
  <definedNames>
    <definedName name="_1000_mts.">#REF!</definedName>
    <definedName name="_600_mts.">#REF!</definedName>
    <definedName name="_800_mts">#REF!</definedName>
    <definedName name="ANTICIPOS">#REF!</definedName>
    <definedName name="asig._Costo">#REF!</definedName>
    <definedName name="aum._costos">[1]Data!$B$74</definedName>
    <definedName name="avance_obra">#REF!</definedName>
    <definedName name="BalanceCierre">#REF!</definedName>
    <definedName name="BalanceInicio">#REF!</definedName>
    <definedName name="base_IVA">#REF!</definedName>
    <definedName name="calif_riesgo">[2]datos!$B$78</definedName>
    <definedName name="CargaCierre">#REF!</definedName>
    <definedName name="CargaInicio">#REF!</definedName>
    <definedName name="Cash_flow_directo">[3]Modelo!$B$117</definedName>
    <definedName name="ClasifAmeric">#REF!</definedName>
    <definedName name="ClasifAmeric1">[4]Controles!$B$47:$B$52</definedName>
    <definedName name="Clasificacion">#REF!</definedName>
    <definedName name="ClasifRT9">#REF!</definedName>
    <definedName name="comision_lotes">[2]datos!$B$85</definedName>
    <definedName name="comision_vivienda_y_condominio">[2]datos!$B$86</definedName>
    <definedName name="COMISIONES">#REF!</definedName>
    <definedName name="condominios_por_mes">[2]datos!$B$68</definedName>
    <definedName name="Correcciones">#REF!</definedName>
    <definedName name="Costo___mt.">#REF!</definedName>
    <definedName name="costo_Adm_Cart">#REF!</definedName>
    <definedName name="costo_Arr.">#REF!</definedName>
    <definedName name="Costo_Chapto_no_v">#REF!</definedName>
    <definedName name="Costo_Chapto_v">#REF!</definedName>
    <definedName name="costo_mt._Cond">#REF!</definedName>
    <definedName name="Cuentas">#REF!</definedName>
    <definedName name="CuentasElim">[4]Asientos!$A$10:$A$107</definedName>
    <definedName name="cuentasExp">#REF!</definedName>
    <definedName name="ElimDebe">[4]Asientos!$B$10:$B$107</definedName>
    <definedName name="ElimHaber">[4]Asientos!$C$10:$C$107</definedName>
    <definedName name="emision">#REF!</definedName>
    <definedName name="Errores">[4]Controles!$G$20:$G$41</definedName>
    <definedName name="Exposicion">#REF!</definedName>
    <definedName name="fdasjf">#REF!</definedName>
    <definedName name="Fin_de_obra">#REF!</definedName>
    <definedName name="GIL">#REF!</definedName>
    <definedName name="gs._Fondo">[2]datos!$B$77</definedName>
    <definedName name="Gs._Func._Fideicom.">[2]datos!$B$76</definedName>
    <definedName name="ImprimirComparativo">#REF!</definedName>
    <definedName name="ImprimirExposicion">#REF!</definedName>
    <definedName name="Inc._Precio_vta_lote">[2]datos!$B$72</definedName>
    <definedName name="Ingresos_Brutos">#REF!</definedName>
    <definedName name="Intereses_Coloc.Temporaria_Exedentes_Financieros">#REF!</definedName>
    <definedName name="Intereses_TDF">#REF!</definedName>
    <definedName name="Intereses_TDS">#REF!</definedName>
    <definedName name="jj">[5]Controles!$B$47:$B$52</definedName>
    <definedName name="jjjjj">'[5]RT 19'!#REF!</definedName>
    <definedName name="LimiteInferiorExp">#REF!</definedName>
    <definedName name="lote_más_vivienda">[2]datos!$B$64</definedName>
    <definedName name="meses_cond">[2]datos!$B$74</definedName>
    <definedName name="meses_obra">[2]datos!$B$73</definedName>
    <definedName name="Meses_transcurr">[2]datos!$B$71</definedName>
    <definedName name="mts2_condominio">[2]datos!$B$27</definedName>
    <definedName name="Mts2._Cubiertos">[2]datos!$B$25</definedName>
    <definedName name="precio_vta_mt2_cub">#REF!</definedName>
    <definedName name="_xlnm.Print_Area" localSheetId="1">'B Case Gral'!$A$4:$AA$231</definedName>
    <definedName name="_xlnm.Print_Area" localSheetId="2">EERR!$A$1:$L$143</definedName>
    <definedName name="_xlnm.Print_Area" localSheetId="0">Masterplan!$A$1:$U$61</definedName>
    <definedName name="QUINCENAS">#REF!</definedName>
    <definedName name="relación_viv_total">#REF!</definedName>
    <definedName name="ResEjercicio">#REF!</definedName>
    <definedName name="RETENCION">#REF!</definedName>
    <definedName name="rrr">'[6]RT 19'!#REF!</definedName>
    <definedName name="rubros">#REF!</definedName>
    <definedName name="sss">[6]Asientos!$B$10:$B$107</definedName>
    <definedName name="tasas_y_contrib">#REF!</definedName>
    <definedName name="tempor">'[4]RT 19'!#REF!</definedName>
    <definedName name="temporal">'[4]RT 19'!#REF!</definedName>
    <definedName name="TotalActivoCierre">#REF!</definedName>
    <definedName name="TotalActivoInicio">#REF!</definedName>
    <definedName name="unid._Condominio">#REF!</definedName>
    <definedName name="Unidades">#REF!</definedName>
    <definedName name="V.A._Terrenos">#REF!</definedName>
    <definedName name="VarBsUso">#REF!</definedName>
    <definedName name="Variaciones">#REF!</definedName>
    <definedName name="VarIntangibles">#REF!</definedName>
    <definedName name="VarInversiones">#REF!</definedName>
    <definedName name="viviendas_por_mes">[2]Presup!$B$32</definedName>
    <definedName name="Vta_casa">[2]Presup!$A$31</definedName>
    <definedName name="vta_condomi">[2]Presup!$B$31</definedName>
    <definedName name="xxx">'[4]RT 19'!#REF!</definedName>
  </definedNames>
  <calcPr calcId="191029" iterate="1" iterateCount="100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76" i="5" l="1"/>
  <c r="J177" i="5" s="1"/>
  <c r="L176" i="5"/>
  <c r="L177" i="5" s="1"/>
  <c r="N176" i="5"/>
  <c r="N177" i="5" s="1"/>
  <c r="P176" i="5"/>
  <c r="P177" i="5" s="1"/>
  <c r="R176" i="5"/>
  <c r="R177" i="5" s="1"/>
  <c r="T176" i="5"/>
  <c r="T177" i="5" s="1"/>
  <c r="V176" i="5"/>
  <c r="V177" i="5" s="1"/>
  <c r="X176" i="5"/>
  <c r="X177" i="5" s="1"/>
  <c r="Z176" i="5"/>
  <c r="Z177" i="5" s="1"/>
  <c r="H176" i="5"/>
  <c r="H177" i="5" s="1"/>
  <c r="I65" i="6"/>
  <c r="J65" i="6"/>
  <c r="K65" i="6"/>
  <c r="L65" i="6"/>
  <c r="M65" i="6"/>
  <c r="N65" i="6"/>
  <c r="I36" i="6"/>
  <c r="J36" i="6"/>
  <c r="K36" i="6"/>
  <c r="L36" i="6"/>
  <c r="M36" i="6"/>
  <c r="N36" i="6"/>
  <c r="D36" i="6"/>
  <c r="E287" i="5"/>
  <c r="E274" i="5"/>
  <c r="L60" i="4"/>
  <c r="G214" i="5"/>
  <c r="Y16" i="6"/>
  <c r="G153" i="5"/>
  <c r="G154" i="5" s="1"/>
  <c r="D16" i="6" s="1"/>
  <c r="Y14" i="6"/>
  <c r="Z14" i="6"/>
  <c r="G98" i="5"/>
  <c r="G97" i="5"/>
  <c r="G217" i="5"/>
  <c r="G218" i="5" s="1"/>
  <c r="D17" i="6" s="1"/>
  <c r="I211" i="5"/>
  <c r="J211" i="5"/>
  <c r="K211" i="5"/>
  <c r="L211" i="5"/>
  <c r="M211" i="5"/>
  <c r="N211" i="5"/>
  <c r="O211" i="5"/>
  <c r="H211" i="5"/>
  <c r="AA210" i="5"/>
  <c r="Z210" i="5"/>
  <c r="Y210" i="5"/>
  <c r="X210" i="5"/>
  <c r="W210" i="5"/>
  <c r="V210" i="5"/>
  <c r="U210" i="5"/>
  <c r="T210" i="5"/>
  <c r="S210" i="5"/>
  <c r="R210" i="5"/>
  <c r="Q210" i="5"/>
  <c r="P210" i="5"/>
  <c r="O210" i="5"/>
  <c r="N210" i="5"/>
  <c r="M210" i="5"/>
  <c r="L210" i="5"/>
  <c r="K210" i="5"/>
  <c r="J210" i="5"/>
  <c r="I210" i="5"/>
  <c r="I187" i="5"/>
  <c r="H187" i="5"/>
  <c r="D13" i="6" l="1"/>
  <c r="D19" i="6" s="1"/>
  <c r="H237" i="5" l="1"/>
  <c r="I237" i="5"/>
  <c r="J237" i="5"/>
  <c r="K237" i="5"/>
  <c r="H238" i="5"/>
  <c r="I238" i="5"/>
  <c r="J238" i="5"/>
  <c r="K238" i="5"/>
  <c r="E239" i="5"/>
  <c r="I239" i="5" s="1"/>
  <c r="H240" i="5"/>
  <c r="H143" i="5" s="1"/>
  <c r="I240" i="5"/>
  <c r="J240" i="5"/>
  <c r="J143" i="5" s="1"/>
  <c r="K240" i="5"/>
  <c r="K143" i="5" s="1"/>
  <c r="L240" i="5"/>
  <c r="L143" i="5" s="1"/>
  <c r="M240" i="5"/>
  <c r="M143" i="5" s="1"/>
  <c r="N240" i="5"/>
  <c r="O240" i="5"/>
  <c r="O143" i="5" s="1"/>
  <c r="P240" i="5"/>
  <c r="P143" i="5" s="1"/>
  <c r="Q240" i="5"/>
  <c r="Q143" i="5" s="1"/>
  <c r="R240" i="5"/>
  <c r="R143" i="5" s="1"/>
  <c r="S240" i="5"/>
  <c r="S143" i="5" s="1"/>
  <c r="T240" i="5"/>
  <c r="T143" i="5" s="1"/>
  <c r="U240" i="5"/>
  <c r="U143" i="5" s="1"/>
  <c r="V240" i="5"/>
  <c r="W240" i="5"/>
  <c r="W143" i="5" s="1"/>
  <c r="X240" i="5"/>
  <c r="X143" i="5" s="1"/>
  <c r="Y240" i="5"/>
  <c r="Y143" i="5" s="1"/>
  <c r="Z240" i="5"/>
  <c r="Z143" i="5" s="1"/>
  <c r="AA240" i="5"/>
  <c r="AA143" i="5" s="1"/>
  <c r="E241" i="5"/>
  <c r="I241" i="5" s="1"/>
  <c r="I147" i="5" s="1"/>
  <c r="G242" i="5"/>
  <c r="G245" i="5"/>
  <c r="G246" i="5"/>
  <c r="H137" i="5"/>
  <c r="I137" i="5" s="1"/>
  <c r="J137" i="5" s="1"/>
  <c r="K137" i="5" s="1"/>
  <c r="L137" i="5" s="1"/>
  <c r="M137" i="5" s="1"/>
  <c r="N137" i="5" s="1"/>
  <c r="O137" i="5" s="1"/>
  <c r="P137" i="5" s="1"/>
  <c r="Q137" i="5" s="1"/>
  <c r="R137" i="5" s="1"/>
  <c r="S137" i="5" s="1"/>
  <c r="T137" i="5" s="1"/>
  <c r="U137" i="5" s="1"/>
  <c r="V137" i="5" s="1"/>
  <c r="W137" i="5" s="1"/>
  <c r="X137" i="5" s="1"/>
  <c r="Y137" i="5" s="1"/>
  <c r="Z137" i="5" s="1"/>
  <c r="AA137" i="5" s="1"/>
  <c r="F136" i="5"/>
  <c r="E151" i="5"/>
  <c r="K133" i="5"/>
  <c r="J133" i="5"/>
  <c r="I133" i="5"/>
  <c r="H133" i="5"/>
  <c r="F131" i="5"/>
  <c r="J126" i="5"/>
  <c r="H126" i="5"/>
  <c r="P239" i="5" l="1"/>
  <c r="K126" i="5"/>
  <c r="H210" i="5"/>
  <c r="F237" i="5"/>
  <c r="X239" i="5"/>
  <c r="H239" i="5"/>
  <c r="W241" i="5"/>
  <c r="W147" i="5" s="1"/>
  <c r="V239" i="5"/>
  <c r="V146" i="5" s="1"/>
  <c r="N239" i="5"/>
  <c r="X241" i="5"/>
  <c r="X147" i="5" s="1"/>
  <c r="W239" i="5"/>
  <c r="V241" i="5"/>
  <c r="V147" i="5" s="1"/>
  <c r="U239" i="5"/>
  <c r="M239" i="5"/>
  <c r="P241" i="5"/>
  <c r="P242" i="5" s="1"/>
  <c r="F240" i="5"/>
  <c r="T239" i="5"/>
  <c r="L239" i="5"/>
  <c r="O241" i="5"/>
  <c r="AA239" i="5"/>
  <c r="S239" i="5"/>
  <c r="K239" i="5"/>
  <c r="O239" i="5"/>
  <c r="N241" i="5"/>
  <c r="N147" i="5" s="1"/>
  <c r="Z239" i="5"/>
  <c r="R239" i="5"/>
  <c r="J239" i="5"/>
  <c r="H241" i="5"/>
  <c r="H147" i="5" s="1"/>
  <c r="Y239" i="5"/>
  <c r="Q239" i="5"/>
  <c r="I242" i="5"/>
  <c r="F238" i="5"/>
  <c r="U241" i="5"/>
  <c r="M241" i="5"/>
  <c r="T241" i="5"/>
  <c r="L241" i="5"/>
  <c r="AA241" i="5"/>
  <c r="AA147" i="5" s="1"/>
  <c r="S241" i="5"/>
  <c r="S147" i="5" s="1"/>
  <c r="K241" i="5"/>
  <c r="K147" i="5" s="1"/>
  <c r="V143" i="5"/>
  <c r="Z241" i="5"/>
  <c r="R241" i="5"/>
  <c r="R147" i="5" s="1"/>
  <c r="J241" i="5"/>
  <c r="Y241" i="5"/>
  <c r="Q241" i="5"/>
  <c r="I143" i="5"/>
  <c r="I146" i="5"/>
  <c r="N143" i="5"/>
  <c r="F133" i="5"/>
  <c r="F8" i="5"/>
  <c r="H9" i="5"/>
  <c r="I9" i="5"/>
  <c r="J9" i="5"/>
  <c r="K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K33" i="6"/>
  <c r="L33" i="6"/>
  <c r="M33" i="6"/>
  <c r="N33" i="6"/>
  <c r="I98" i="7"/>
  <c r="I106" i="7" s="1"/>
  <c r="J98" i="7"/>
  <c r="J100" i="7" s="1"/>
  <c r="K98" i="7"/>
  <c r="K106" i="7" s="1"/>
  <c r="L98" i="7"/>
  <c r="L106" i="7" s="1"/>
  <c r="C98" i="7"/>
  <c r="C106" i="7" s="1"/>
  <c r="E33" i="6"/>
  <c r="M27" i="6"/>
  <c r="N27" i="6"/>
  <c r="N25" i="6" s="1"/>
  <c r="Y33" i="6"/>
  <c r="U242" i="5" l="1"/>
  <c r="W242" i="5"/>
  <c r="X242" i="5"/>
  <c r="L242" i="5"/>
  <c r="H242" i="5"/>
  <c r="U147" i="5"/>
  <c r="F239" i="5"/>
  <c r="T242" i="5"/>
  <c r="O242" i="5"/>
  <c r="L146" i="5"/>
  <c r="V242" i="5"/>
  <c r="M242" i="5"/>
  <c r="F241" i="5"/>
  <c r="N242" i="5"/>
  <c r="O147" i="5"/>
  <c r="P147" i="5"/>
  <c r="Q147" i="5"/>
  <c r="Q242" i="5"/>
  <c r="M147" i="5"/>
  <c r="Y147" i="5"/>
  <c r="Y242" i="5"/>
  <c r="K242" i="5"/>
  <c r="J147" i="5"/>
  <c r="J242" i="5"/>
  <c r="L147" i="5"/>
  <c r="R242" i="5"/>
  <c r="AA242" i="5"/>
  <c r="S242" i="5"/>
  <c r="T147" i="5"/>
  <c r="Z147" i="5"/>
  <c r="Z242" i="5"/>
  <c r="F143" i="5"/>
  <c r="H146" i="5"/>
  <c r="AA146" i="5"/>
  <c r="X146" i="5"/>
  <c r="R146" i="5"/>
  <c r="S146" i="5"/>
  <c r="Q146" i="5"/>
  <c r="U146" i="5"/>
  <c r="Z146" i="5"/>
  <c r="N146" i="5"/>
  <c r="Y146" i="5"/>
  <c r="O146" i="5"/>
  <c r="K146" i="5"/>
  <c r="M146" i="5"/>
  <c r="P146" i="5"/>
  <c r="J146" i="5"/>
  <c r="T146" i="5"/>
  <c r="W146" i="5"/>
  <c r="I100" i="7"/>
  <c r="F9" i="5"/>
  <c r="C100" i="7"/>
  <c r="L100" i="7"/>
  <c r="J106" i="7"/>
  <c r="K100" i="7"/>
  <c r="W98" i="7"/>
  <c r="X98" i="7"/>
  <c r="Y98" i="7"/>
  <c r="Z98" i="7"/>
  <c r="F242" i="5" l="1"/>
  <c r="F147" i="5"/>
  <c r="F146" i="5"/>
  <c r="M25" i="6"/>
  <c r="F31" i="6" l="1"/>
  <c r="G31" i="6"/>
  <c r="E31" i="6" l="1"/>
  <c r="H31" i="6"/>
  <c r="F32" i="6" l="1"/>
  <c r="D31" i="6" l="1"/>
  <c r="E32" i="6"/>
  <c r="G32" i="6"/>
  <c r="E37" i="6"/>
  <c r="E36" i="6" s="1"/>
  <c r="H32" i="6"/>
  <c r="F37" i="6" l="1"/>
  <c r="F36" i="6" s="1"/>
  <c r="G37" i="6" l="1"/>
  <c r="G36" i="6" s="1"/>
  <c r="E56" i="6"/>
  <c r="E65" i="6" s="1"/>
  <c r="H37" i="6" l="1"/>
  <c r="H36" i="6" s="1"/>
  <c r="G56" i="6" l="1"/>
  <c r="G65" i="6" s="1"/>
  <c r="F56" i="6"/>
  <c r="F65" i="6" s="1"/>
  <c r="H56" i="6" l="1"/>
  <c r="H65" i="6" s="1"/>
  <c r="W43" i="7" l="1"/>
  <c r="W40" i="7"/>
  <c r="W37" i="7"/>
  <c r="H70" i="5"/>
  <c r="I70" i="5"/>
  <c r="J70" i="5"/>
  <c r="K70" i="5"/>
  <c r="D31" i="7"/>
  <c r="W31" i="7"/>
  <c r="C31" i="7"/>
  <c r="D28" i="7"/>
  <c r="W28" i="7"/>
  <c r="C28" i="7"/>
  <c r="W25" i="7"/>
  <c r="D25" i="7"/>
  <c r="C25" i="7"/>
  <c r="D42" i="7"/>
  <c r="E42" i="7"/>
  <c r="F42" i="7"/>
  <c r="G42" i="7"/>
  <c r="H42" i="7"/>
  <c r="I42" i="7"/>
  <c r="J42" i="7"/>
  <c r="K42" i="7"/>
  <c r="L42" i="7"/>
  <c r="W42" i="7"/>
  <c r="C42" i="7"/>
  <c r="W39" i="7"/>
  <c r="W36" i="7"/>
  <c r="X36" i="7"/>
  <c r="L30" i="7"/>
  <c r="D30" i="7"/>
  <c r="E30" i="7"/>
  <c r="F30" i="7"/>
  <c r="G30" i="7"/>
  <c r="H30" i="7"/>
  <c r="I30" i="7"/>
  <c r="J30" i="7"/>
  <c r="K30" i="7"/>
  <c r="C30" i="7"/>
  <c r="G24" i="7"/>
  <c r="H24" i="7"/>
  <c r="I24" i="7"/>
  <c r="J24" i="7"/>
  <c r="F24" i="7"/>
  <c r="E24" i="7"/>
  <c r="D24" i="7"/>
  <c r="C24" i="7"/>
  <c r="F49" i="5"/>
  <c r="J49" i="5" s="1"/>
  <c r="Y48" i="5"/>
  <c r="Z48" i="5"/>
  <c r="AA48" i="5"/>
  <c r="X48" i="5"/>
  <c r="F52" i="5"/>
  <c r="X52" i="5" s="1"/>
  <c r="F53" i="5"/>
  <c r="I53" i="5" s="1"/>
  <c r="C7" i="7"/>
  <c r="C8" i="7"/>
  <c r="C9" i="7"/>
  <c r="F51" i="6"/>
  <c r="F71" i="5"/>
  <c r="T71" i="5" s="1"/>
  <c r="F72" i="5"/>
  <c r="O72" i="5" s="1"/>
  <c r="F68" i="5"/>
  <c r="Q68" i="5" s="1"/>
  <c r="F67" i="5"/>
  <c r="P67" i="5" s="1"/>
  <c r="F30" i="5"/>
  <c r="Q30" i="5" s="1"/>
  <c r="W52" i="5" l="1"/>
  <c r="V53" i="5"/>
  <c r="J39" i="7" s="1"/>
  <c r="S49" i="5"/>
  <c r="K24" i="7"/>
  <c r="H72" i="5"/>
  <c r="T49" i="5"/>
  <c r="I49" i="5"/>
  <c r="S53" i="5"/>
  <c r="H49" i="5"/>
  <c r="P49" i="5"/>
  <c r="R53" i="5"/>
  <c r="Y49" i="5"/>
  <c r="O49" i="5"/>
  <c r="H53" i="5"/>
  <c r="P53" i="5"/>
  <c r="G39" i="7" s="1"/>
  <c r="X49" i="5"/>
  <c r="X51" i="5" s="1"/>
  <c r="N49" i="5"/>
  <c r="J51" i="5"/>
  <c r="X53" i="5"/>
  <c r="K39" i="7" s="1"/>
  <c r="M49" i="5"/>
  <c r="C23" i="7"/>
  <c r="Z53" i="5"/>
  <c r="N53" i="5"/>
  <c r="V49" i="5"/>
  <c r="L49" i="5"/>
  <c r="O52" i="5"/>
  <c r="D23" i="7"/>
  <c r="AA53" i="5"/>
  <c r="O53" i="5"/>
  <c r="W49" i="5"/>
  <c r="Y53" i="5"/>
  <c r="K53" i="5"/>
  <c r="U49" i="5"/>
  <c r="K49" i="5"/>
  <c r="Z52" i="5"/>
  <c r="D29" i="7"/>
  <c r="T52" i="5"/>
  <c r="L52" i="5"/>
  <c r="J71" i="5"/>
  <c r="S52" i="5"/>
  <c r="K52" i="5"/>
  <c r="I71" i="5"/>
  <c r="R52" i="5"/>
  <c r="J52" i="5"/>
  <c r="L24" i="7"/>
  <c r="K72" i="5"/>
  <c r="Q52" i="5"/>
  <c r="I52" i="5"/>
  <c r="J72" i="5"/>
  <c r="W53" i="5"/>
  <c r="L53" i="5"/>
  <c r="H52" i="5"/>
  <c r="P52" i="5"/>
  <c r="AA52" i="5"/>
  <c r="I72" i="5"/>
  <c r="T53" i="5"/>
  <c r="J53" i="5"/>
  <c r="V52" i="5"/>
  <c r="J36" i="7" s="1"/>
  <c r="N52" i="5"/>
  <c r="Y52" i="5"/>
  <c r="H71" i="5"/>
  <c r="U52" i="5"/>
  <c r="M52" i="5"/>
  <c r="K71" i="5"/>
  <c r="C29" i="7"/>
  <c r="AA49" i="5"/>
  <c r="Q49" i="5"/>
  <c r="Z49" i="5"/>
  <c r="R49" i="5"/>
  <c r="U53" i="5"/>
  <c r="M53" i="5"/>
  <c r="Q53" i="5"/>
  <c r="N72" i="5"/>
  <c r="W68" i="5"/>
  <c r="V72" i="5"/>
  <c r="P68" i="5"/>
  <c r="G28" i="7" s="1"/>
  <c r="L72" i="5"/>
  <c r="V68" i="5"/>
  <c r="U72" i="5"/>
  <c r="O68" i="5"/>
  <c r="T72" i="5"/>
  <c r="N68" i="5"/>
  <c r="M72" i="5"/>
  <c r="X68" i="5"/>
  <c r="V67" i="5"/>
  <c r="N67" i="5"/>
  <c r="AA72" i="5"/>
  <c r="S72" i="5"/>
  <c r="U68" i="5"/>
  <c r="M68" i="5"/>
  <c r="T67" i="5"/>
  <c r="J30" i="5"/>
  <c r="Z72" i="5"/>
  <c r="R72" i="5"/>
  <c r="T68" i="5"/>
  <c r="AA67" i="5"/>
  <c r="S67" i="5"/>
  <c r="I30" i="5"/>
  <c r="M67" i="5"/>
  <c r="K30" i="5"/>
  <c r="F73" i="5"/>
  <c r="Y72" i="5"/>
  <c r="Q72" i="5"/>
  <c r="AA68" i="5"/>
  <c r="S68" i="5"/>
  <c r="Z67" i="5"/>
  <c r="R67" i="5"/>
  <c r="H30" i="5"/>
  <c r="F69" i="5"/>
  <c r="F70" i="5" s="1"/>
  <c r="W67" i="5"/>
  <c r="O67" i="5"/>
  <c r="L67" i="5"/>
  <c r="X72" i="5"/>
  <c r="P72" i="5"/>
  <c r="Z68" i="5"/>
  <c r="R68" i="5"/>
  <c r="Y67" i="5"/>
  <c r="Q67" i="5"/>
  <c r="G25" i="7" s="1"/>
  <c r="G23" i="7" s="1"/>
  <c r="U67" i="5"/>
  <c r="L68" i="5"/>
  <c r="E28" i="7" s="1"/>
  <c r="W72" i="5"/>
  <c r="Y68" i="5"/>
  <c r="X67" i="5"/>
  <c r="C11" i="7"/>
  <c r="AA71" i="5"/>
  <c r="V71" i="5"/>
  <c r="S71" i="5"/>
  <c r="R71" i="5"/>
  <c r="Y71" i="5"/>
  <c r="Q71" i="5"/>
  <c r="Z71" i="5"/>
  <c r="X71" i="5"/>
  <c r="P71" i="5"/>
  <c r="W71" i="5"/>
  <c r="O71" i="5"/>
  <c r="N71" i="5"/>
  <c r="U71" i="5"/>
  <c r="I37" i="7" s="1"/>
  <c r="M71" i="5"/>
  <c r="L71" i="5"/>
  <c r="Y30" i="5"/>
  <c r="X30" i="5"/>
  <c r="P30" i="5"/>
  <c r="G14" i="7" s="1"/>
  <c r="O30" i="5"/>
  <c r="W30" i="5"/>
  <c r="N30" i="5"/>
  <c r="V30" i="5"/>
  <c r="M30" i="5"/>
  <c r="U30" i="5"/>
  <c r="L30" i="5"/>
  <c r="T30" i="5"/>
  <c r="AA30" i="5"/>
  <c r="S30" i="5"/>
  <c r="R30" i="5"/>
  <c r="Z30" i="5"/>
  <c r="E313" i="5"/>
  <c r="F292" i="5"/>
  <c r="D276" i="5"/>
  <c r="D289" i="5" s="1"/>
  <c r="D277" i="5"/>
  <c r="D290" i="5" s="1"/>
  <c r="D275" i="5"/>
  <c r="O60" i="4"/>
  <c r="E136" i="5" l="1"/>
  <c r="P140" i="5" s="1"/>
  <c r="I145" i="5"/>
  <c r="I141" i="5" s="1"/>
  <c r="Q145" i="5"/>
  <c r="Q141" i="5" s="1"/>
  <c r="Y145" i="5"/>
  <c r="Y141" i="5" s="1"/>
  <c r="J145" i="5"/>
  <c r="J141" i="5" s="1"/>
  <c r="R145" i="5"/>
  <c r="R141" i="5" s="1"/>
  <c r="Z145" i="5"/>
  <c r="Z141" i="5" s="1"/>
  <c r="T145" i="5"/>
  <c r="T141" i="5" s="1"/>
  <c r="H145" i="5"/>
  <c r="X145" i="5"/>
  <c r="X141" i="5" s="1"/>
  <c r="K145" i="5"/>
  <c r="K141" i="5" s="1"/>
  <c r="S145" i="5"/>
  <c r="S141" i="5" s="1"/>
  <c r="AA145" i="5"/>
  <c r="AA141" i="5" s="1"/>
  <c r="L145" i="5"/>
  <c r="L141" i="5" s="1"/>
  <c r="P145" i="5"/>
  <c r="P141" i="5" s="1"/>
  <c r="M145" i="5"/>
  <c r="M141" i="5" s="1"/>
  <c r="U145" i="5"/>
  <c r="U141" i="5" s="1"/>
  <c r="O145" i="5"/>
  <c r="O141" i="5" s="1"/>
  <c r="W145" i="5"/>
  <c r="W141" i="5" s="1"/>
  <c r="N145" i="5"/>
  <c r="N141" i="5" s="1"/>
  <c r="V145" i="5"/>
  <c r="V141" i="5" s="1"/>
  <c r="X56" i="5"/>
  <c r="J56" i="5"/>
  <c r="Z51" i="5"/>
  <c r="Z56" i="5" s="1"/>
  <c r="W51" i="5"/>
  <c r="W56" i="5" s="1"/>
  <c r="Q51" i="5"/>
  <c r="Q56" i="5" s="1"/>
  <c r="O51" i="5"/>
  <c r="O56" i="5" s="1"/>
  <c r="M51" i="5"/>
  <c r="M56" i="5" s="1"/>
  <c r="Y51" i="5"/>
  <c r="Y56" i="5" s="1"/>
  <c r="K51" i="5"/>
  <c r="K56" i="5" s="1"/>
  <c r="P51" i="5"/>
  <c r="P56" i="5" s="1"/>
  <c r="S51" i="5"/>
  <c r="S56" i="5" s="1"/>
  <c r="U51" i="5"/>
  <c r="U56" i="5" s="1"/>
  <c r="L51" i="5"/>
  <c r="L56" i="5" s="1"/>
  <c r="N51" i="5"/>
  <c r="N56" i="5" s="1"/>
  <c r="H51" i="5"/>
  <c r="V51" i="5"/>
  <c r="V56" i="5" s="1"/>
  <c r="I51" i="5"/>
  <c r="I58" i="5" s="1"/>
  <c r="I27" i="7"/>
  <c r="F36" i="7"/>
  <c r="F25" i="7"/>
  <c r="F23" i="7" s="1"/>
  <c r="H28" i="7"/>
  <c r="F37" i="7"/>
  <c r="H37" i="7"/>
  <c r="H25" i="7"/>
  <c r="H23" i="7" s="1"/>
  <c r="L37" i="7"/>
  <c r="L14" i="7"/>
  <c r="J27" i="7"/>
  <c r="G36" i="7"/>
  <c r="F27" i="7"/>
  <c r="E37" i="7"/>
  <c r="J28" i="7"/>
  <c r="F39" i="7"/>
  <c r="F40" i="7"/>
  <c r="L40" i="7"/>
  <c r="L39" i="7"/>
  <c r="C39" i="7"/>
  <c r="C40" i="7"/>
  <c r="X58" i="5"/>
  <c r="I25" i="7"/>
  <c r="I23" i="7" s="1"/>
  <c r="H36" i="7"/>
  <c r="K40" i="7"/>
  <c r="K38" i="7" s="1"/>
  <c r="H40" i="7"/>
  <c r="H39" i="7"/>
  <c r="E36" i="7"/>
  <c r="D27" i="7"/>
  <c r="D26" i="7" s="1"/>
  <c r="D33" i="7" s="1"/>
  <c r="G37" i="7"/>
  <c r="G40" i="7"/>
  <c r="G38" i="7" s="1"/>
  <c r="E27" i="7"/>
  <c r="E26" i="7" s="1"/>
  <c r="K37" i="7"/>
  <c r="I28" i="7"/>
  <c r="C37" i="7"/>
  <c r="T51" i="5"/>
  <c r="K27" i="7"/>
  <c r="C27" i="7"/>
  <c r="C26" i="7" s="1"/>
  <c r="C33" i="7" s="1"/>
  <c r="D37" i="7"/>
  <c r="K25" i="7"/>
  <c r="K23" i="7" s="1"/>
  <c r="J73" i="5"/>
  <c r="J75" i="5" s="1"/>
  <c r="K73" i="5"/>
  <c r="K75" i="5" s="1"/>
  <c r="H73" i="5"/>
  <c r="H75" i="5" s="1"/>
  <c r="I73" i="5"/>
  <c r="I75" i="5" s="1"/>
  <c r="J25" i="7"/>
  <c r="J23" i="7" s="1"/>
  <c r="L28" i="7"/>
  <c r="K28" i="7"/>
  <c r="R51" i="5"/>
  <c r="H27" i="7"/>
  <c r="I36" i="7"/>
  <c r="I35" i="7" s="1"/>
  <c r="G288" i="5"/>
  <c r="F288" i="5" s="1"/>
  <c r="L27" i="7"/>
  <c r="D40" i="7"/>
  <c r="D39" i="7"/>
  <c r="C36" i="7"/>
  <c r="AA51" i="5"/>
  <c r="G27" i="7"/>
  <c r="G26" i="7" s="1"/>
  <c r="L25" i="7"/>
  <c r="L23" i="7" s="1"/>
  <c r="F28" i="7"/>
  <c r="I40" i="7"/>
  <c r="I39" i="7"/>
  <c r="J58" i="5"/>
  <c r="D36" i="7"/>
  <c r="J37" i="7"/>
  <c r="J35" i="7" s="1"/>
  <c r="E25" i="7"/>
  <c r="E23" i="7" s="1"/>
  <c r="E40" i="7"/>
  <c r="E39" i="7"/>
  <c r="J40" i="7"/>
  <c r="J38" i="7" s="1"/>
  <c r="L36" i="7"/>
  <c r="K36" i="7"/>
  <c r="K14" i="7"/>
  <c r="I14" i="7"/>
  <c r="J14" i="7"/>
  <c r="F14" i="7"/>
  <c r="E14" i="7"/>
  <c r="H14" i="7"/>
  <c r="L69" i="5"/>
  <c r="R69" i="5"/>
  <c r="Z69" i="5"/>
  <c r="Q69" i="5"/>
  <c r="Q70" i="5" s="1"/>
  <c r="S69" i="5"/>
  <c r="S70" i="5" s="1"/>
  <c r="AA69" i="5"/>
  <c r="Y69" i="5"/>
  <c r="T69" i="5"/>
  <c r="W69" i="5"/>
  <c r="M69" i="5"/>
  <c r="M70" i="5" s="1"/>
  <c r="U69" i="5"/>
  <c r="U70" i="5" s="1"/>
  <c r="P69" i="5"/>
  <c r="N69" i="5"/>
  <c r="V69" i="5"/>
  <c r="V70" i="5" s="1"/>
  <c r="O69" i="5"/>
  <c r="O70" i="5" s="1"/>
  <c r="X69" i="5"/>
  <c r="P73" i="5"/>
  <c r="X73" i="5"/>
  <c r="M73" i="5"/>
  <c r="N73" i="5"/>
  <c r="Q73" i="5"/>
  <c r="Y73" i="5"/>
  <c r="O73" i="5"/>
  <c r="R73" i="5"/>
  <c r="Z73" i="5"/>
  <c r="T73" i="5"/>
  <c r="S73" i="5"/>
  <c r="AA73" i="5"/>
  <c r="U73" i="5"/>
  <c r="W73" i="5"/>
  <c r="L73" i="5"/>
  <c r="V73" i="5"/>
  <c r="C14" i="7"/>
  <c r="D14" i="7"/>
  <c r="R295" i="5"/>
  <c r="N295" i="5"/>
  <c r="Q295" i="5"/>
  <c r="M295" i="5"/>
  <c r="P295" i="5"/>
  <c r="L295" i="5"/>
  <c r="K295" i="5"/>
  <c r="O295" i="5"/>
  <c r="G275" i="5"/>
  <c r="V58" i="5" l="1"/>
  <c r="S140" i="5"/>
  <c r="S142" i="5" s="1"/>
  <c r="S149" i="5" s="1"/>
  <c r="S196" i="5" s="1"/>
  <c r="K140" i="5"/>
  <c r="Q140" i="5"/>
  <c r="V140" i="5"/>
  <c r="W140" i="5"/>
  <c r="H140" i="5"/>
  <c r="I140" i="5"/>
  <c r="AA140" i="5"/>
  <c r="X140" i="5"/>
  <c r="N140" i="5"/>
  <c r="O140" i="5"/>
  <c r="U140" i="5"/>
  <c r="Z140" i="5"/>
  <c r="M140" i="5"/>
  <c r="R140" i="5"/>
  <c r="T140" i="5"/>
  <c r="J140" i="5"/>
  <c r="L140" i="5"/>
  <c r="Y140" i="5"/>
  <c r="P58" i="5"/>
  <c r="H141" i="5"/>
  <c r="F141" i="5" s="1"/>
  <c r="F145" i="5"/>
  <c r="P142" i="5"/>
  <c r="P149" i="5" s="1"/>
  <c r="P196" i="5" s="1"/>
  <c r="Q58" i="5"/>
  <c r="N58" i="5"/>
  <c r="L58" i="5"/>
  <c r="S75" i="5"/>
  <c r="H56" i="5"/>
  <c r="O75" i="5"/>
  <c r="H58" i="5"/>
  <c r="Y58" i="5"/>
  <c r="I56" i="5"/>
  <c r="U58" i="5"/>
  <c r="I26" i="7"/>
  <c r="V75" i="5"/>
  <c r="Q75" i="5"/>
  <c r="S58" i="5"/>
  <c r="U75" i="5"/>
  <c r="W58" i="5"/>
  <c r="K58" i="5"/>
  <c r="M75" i="5"/>
  <c r="Z58" i="5"/>
  <c r="AA58" i="5"/>
  <c r="AA56" i="5"/>
  <c r="T58" i="5"/>
  <c r="T56" i="5"/>
  <c r="R58" i="5"/>
  <c r="R56" i="5"/>
  <c r="O58" i="5"/>
  <c r="M58" i="5"/>
  <c r="D35" i="7"/>
  <c r="L35" i="7"/>
  <c r="H26" i="7"/>
  <c r="F35" i="7"/>
  <c r="E35" i="7"/>
  <c r="K26" i="7"/>
  <c r="G35" i="7"/>
  <c r="H35" i="7"/>
  <c r="F26" i="7"/>
  <c r="L26" i="7"/>
  <c r="C38" i="7"/>
  <c r="J26" i="7"/>
  <c r="L43" i="7"/>
  <c r="L41" i="7" s="1"/>
  <c r="L38" i="7"/>
  <c r="C35" i="7"/>
  <c r="D43" i="7"/>
  <c r="D41" i="7" s="1"/>
  <c r="F38" i="7"/>
  <c r="H38" i="7"/>
  <c r="J43" i="7"/>
  <c r="J41" i="7" s="1"/>
  <c r="J45" i="7" s="1"/>
  <c r="C43" i="7"/>
  <c r="C41" i="7" s="1"/>
  <c r="K35" i="7"/>
  <c r="J31" i="7"/>
  <c r="J29" i="7" s="1"/>
  <c r="H43" i="7"/>
  <c r="H41" i="7" s="1"/>
  <c r="X70" i="5"/>
  <c r="X75" i="5" s="1"/>
  <c r="K31" i="7"/>
  <c r="K29" i="7" s="1"/>
  <c r="T70" i="5"/>
  <c r="T75" i="5" s="1"/>
  <c r="I31" i="7"/>
  <c r="I29" i="7" s="1"/>
  <c r="E38" i="7"/>
  <c r="D38" i="7"/>
  <c r="D98" i="7"/>
  <c r="F33" i="6"/>
  <c r="G33" i="6"/>
  <c r="E98" i="7"/>
  <c r="E43" i="7"/>
  <c r="E41" i="7" s="1"/>
  <c r="Y70" i="5"/>
  <c r="Y75" i="5" s="1"/>
  <c r="AA70" i="5"/>
  <c r="AA75" i="5" s="1"/>
  <c r="I33" i="6"/>
  <c r="G98" i="7"/>
  <c r="N70" i="5"/>
  <c r="N75" i="5" s="1"/>
  <c r="F31" i="7"/>
  <c r="F29" i="7" s="1"/>
  <c r="F43" i="7"/>
  <c r="F41" i="7" s="1"/>
  <c r="P70" i="5"/>
  <c r="P75" i="5" s="1"/>
  <c r="G31" i="7"/>
  <c r="G29" i="7" s="1"/>
  <c r="G33" i="7" s="1"/>
  <c r="I38" i="7"/>
  <c r="J103" i="7"/>
  <c r="K103" i="7"/>
  <c r="D103" i="7"/>
  <c r="L103" i="7"/>
  <c r="E103" i="7"/>
  <c r="C103" i="7"/>
  <c r="H103" i="7"/>
  <c r="G103" i="7"/>
  <c r="I103" i="7"/>
  <c r="F103" i="7"/>
  <c r="W103" i="7"/>
  <c r="F98" i="7"/>
  <c r="H33" i="6"/>
  <c r="Z70" i="5"/>
  <c r="Z75" i="5" s="1"/>
  <c r="L31" i="7"/>
  <c r="L29" i="7" s="1"/>
  <c r="J33" i="6"/>
  <c r="H98" i="7"/>
  <c r="I43" i="7"/>
  <c r="I41" i="7" s="1"/>
  <c r="K43" i="7"/>
  <c r="K41" i="7" s="1"/>
  <c r="R70" i="5"/>
  <c r="R75" i="5" s="1"/>
  <c r="H31" i="7"/>
  <c r="H29" i="7" s="1"/>
  <c r="G43" i="7"/>
  <c r="G41" i="7" s="1"/>
  <c r="W70" i="5"/>
  <c r="W75" i="5" s="1"/>
  <c r="L70" i="5"/>
  <c r="L75" i="5" s="1"/>
  <c r="E31" i="7"/>
  <c r="E29" i="7" s="1"/>
  <c r="E33" i="7" s="1"/>
  <c r="F295" i="5"/>
  <c r="F294" i="5" s="1"/>
  <c r="F139" i="5" s="1"/>
  <c r="F275" i="5"/>
  <c r="K82" i="4"/>
  <c r="K80" i="4"/>
  <c r="AA142" i="5" l="1"/>
  <c r="AA149" i="5" s="1"/>
  <c r="AA196" i="5" s="1"/>
  <c r="M142" i="5"/>
  <c r="M149" i="5" s="1"/>
  <c r="M196" i="5" s="1"/>
  <c r="Z142" i="5"/>
  <c r="Z149" i="5" s="1"/>
  <c r="Z196" i="5" s="1"/>
  <c r="W142" i="5"/>
  <c r="W149" i="5" s="1"/>
  <c r="W196" i="5" s="1"/>
  <c r="U142" i="5"/>
  <c r="U149" i="5" s="1"/>
  <c r="U196" i="5" s="1"/>
  <c r="V142" i="5"/>
  <c r="V149" i="5" s="1"/>
  <c r="V196" i="5" s="1"/>
  <c r="Y142" i="5"/>
  <c r="Y149" i="5" s="1"/>
  <c r="Y196" i="5" s="1"/>
  <c r="O142" i="5"/>
  <c r="O149" i="5" s="1"/>
  <c r="O196" i="5" s="1"/>
  <c r="Q142" i="5"/>
  <c r="Q149" i="5" s="1"/>
  <c r="Q196" i="5" s="1"/>
  <c r="L142" i="5"/>
  <c r="L149" i="5" s="1"/>
  <c r="L196" i="5" s="1"/>
  <c r="N142" i="5"/>
  <c r="N149" i="5" s="1"/>
  <c r="N196" i="5" s="1"/>
  <c r="K142" i="5"/>
  <c r="J142" i="5"/>
  <c r="X142" i="5"/>
  <c r="X149" i="5" s="1"/>
  <c r="X196" i="5" s="1"/>
  <c r="T142" i="5"/>
  <c r="T149" i="5" s="1"/>
  <c r="T196" i="5" s="1"/>
  <c r="R142" i="5"/>
  <c r="R149" i="5" s="1"/>
  <c r="R196" i="5" s="1"/>
  <c r="I142" i="5"/>
  <c r="F140" i="5"/>
  <c r="F142" i="5" s="1"/>
  <c r="H142" i="5"/>
  <c r="I33" i="7"/>
  <c r="F75" i="5"/>
  <c r="F56" i="5"/>
  <c r="H33" i="7"/>
  <c r="K45" i="7"/>
  <c r="G45" i="7"/>
  <c r="G47" i="7" s="1"/>
  <c r="F45" i="7"/>
  <c r="L33" i="7"/>
  <c r="K33" i="7"/>
  <c r="F33" i="7"/>
  <c r="J33" i="7"/>
  <c r="J47" i="7" s="1"/>
  <c r="H45" i="7"/>
  <c r="L45" i="7"/>
  <c r="D45" i="7"/>
  <c r="D47" i="7" s="1"/>
  <c r="C45" i="7"/>
  <c r="C47" i="7" s="1"/>
  <c r="E45" i="7"/>
  <c r="E47" i="7" s="1"/>
  <c r="I45" i="7"/>
  <c r="G106" i="7"/>
  <c r="G100" i="7"/>
  <c r="E100" i="7"/>
  <c r="E106" i="7"/>
  <c r="F106" i="7"/>
  <c r="F100" i="7"/>
  <c r="H100" i="7"/>
  <c r="H106" i="7"/>
  <c r="D106" i="7"/>
  <c r="D100" i="7"/>
  <c r="J75" i="4"/>
  <c r="J76" i="4"/>
  <c r="H47" i="7" l="1"/>
  <c r="I47" i="7"/>
  <c r="F47" i="7"/>
  <c r="K47" i="7"/>
  <c r="L47" i="7"/>
  <c r="E93" i="5"/>
  <c r="E116" i="5" s="1"/>
  <c r="J82" i="4" l="1"/>
  <c r="J80" i="4"/>
  <c r="J81" i="4" s="1"/>
  <c r="J83" i="4" s="1"/>
  <c r="J84" i="4" s="1"/>
  <c r="J74" i="4"/>
  <c r="J73" i="4"/>
  <c r="J70" i="4"/>
  <c r="L33" i="4" l="1"/>
  <c r="V46" i="4"/>
  <c r="F81" i="4"/>
  <c r="F83" i="4" s="1"/>
  <c r="F84" i="4" s="1"/>
  <c r="E70" i="4"/>
  <c r="I65" i="4" l="1"/>
  <c r="W125" i="7" l="1"/>
  <c r="R121" i="5"/>
  <c r="R278" i="5" s="1"/>
  <c r="G121" i="5"/>
  <c r="G278" i="5" s="1"/>
  <c r="S121" i="5"/>
  <c r="S278" i="5" s="1"/>
  <c r="T120" i="5"/>
  <c r="U120" i="5"/>
  <c r="V120" i="5"/>
  <c r="W120" i="5"/>
  <c r="X120" i="5"/>
  <c r="Y120" i="5"/>
  <c r="Z120" i="5"/>
  <c r="AA120" i="5"/>
  <c r="H117" i="5"/>
  <c r="I117" i="5"/>
  <c r="F105" i="5"/>
  <c r="F18" i="5"/>
  <c r="F11" i="5"/>
  <c r="F80" i="5"/>
  <c r="F61" i="5"/>
  <c r="F42" i="5"/>
  <c r="G117" i="5"/>
  <c r="G36" i="5"/>
  <c r="G94" i="5" s="1"/>
  <c r="G95" i="5" s="1"/>
  <c r="G124" i="5" l="1"/>
  <c r="K105" i="7"/>
  <c r="K110" i="7" s="1"/>
  <c r="K114" i="7" s="1"/>
  <c r="K118" i="7" s="1"/>
  <c r="L105" i="7"/>
  <c r="V121" i="5"/>
  <c r="V278" i="5" s="1"/>
  <c r="Y121" i="5"/>
  <c r="Y278" i="5" s="1"/>
  <c r="X121" i="5"/>
  <c r="X278" i="5" s="1"/>
  <c r="T121" i="5"/>
  <c r="T278" i="5" s="1"/>
  <c r="Z121" i="5"/>
  <c r="Z278" i="5" s="1"/>
  <c r="U121" i="5"/>
  <c r="U278" i="5" s="1"/>
  <c r="AA121" i="5"/>
  <c r="AA278" i="5" s="1"/>
  <c r="W121" i="5"/>
  <c r="W278" i="5" s="1"/>
  <c r="L127" i="7"/>
  <c r="K127" i="7" l="1"/>
  <c r="W127" i="7"/>
  <c r="L108" i="7"/>
  <c r="L110" i="7"/>
  <c r="L35" i="4"/>
  <c r="L39" i="4" s="1"/>
  <c r="N34" i="4"/>
  <c r="N33" i="4"/>
  <c r="N32" i="4"/>
  <c r="N31" i="4"/>
  <c r="T52" i="4"/>
  <c r="T53" i="4" s="1"/>
  <c r="L114" i="7" l="1"/>
  <c r="L118" i="7" s="1"/>
  <c r="N35" i="4"/>
  <c r="T38" i="4"/>
  <c r="T39" i="4" s="1"/>
  <c r="U29" i="4"/>
  <c r="U30" i="4" s="1"/>
  <c r="T22" i="4"/>
  <c r="T41" i="4" l="1"/>
  <c r="T42" i="4" s="1"/>
  <c r="T43" i="4" s="1"/>
  <c r="E106" i="5" s="1"/>
  <c r="J106" i="5" s="1"/>
  <c r="J187" i="5" s="1"/>
  <c r="K70" i="4"/>
  <c r="K81" i="4" s="1"/>
  <c r="K83" i="4" s="1"/>
  <c r="K84" i="4" s="1"/>
  <c r="N37" i="4"/>
  <c r="N39" i="4" s="1"/>
  <c r="M35" i="4"/>
  <c r="T23" i="4"/>
  <c r="P106" i="5" l="1"/>
  <c r="P187" i="5" s="1"/>
  <c r="X106" i="5"/>
  <c r="X187" i="5" s="1"/>
  <c r="Y106" i="5"/>
  <c r="Y187" i="5" s="1"/>
  <c r="M106" i="5"/>
  <c r="M187" i="5" s="1"/>
  <c r="Q106" i="5"/>
  <c r="Q187" i="5" s="1"/>
  <c r="U106" i="5"/>
  <c r="U187" i="5" s="1"/>
  <c r="R106" i="5"/>
  <c r="R187" i="5" s="1"/>
  <c r="K106" i="5"/>
  <c r="T106" i="5"/>
  <c r="T187" i="5" s="1"/>
  <c r="Z106" i="5"/>
  <c r="Z187" i="5" s="1"/>
  <c r="N106" i="5"/>
  <c r="N187" i="5" s="1"/>
  <c r="V106" i="5"/>
  <c r="V187" i="5" s="1"/>
  <c r="S106" i="5"/>
  <c r="S187" i="5" s="1"/>
  <c r="W106" i="5"/>
  <c r="W187" i="5" s="1"/>
  <c r="AA106" i="5"/>
  <c r="AA187" i="5" s="1"/>
  <c r="O106" i="5"/>
  <c r="O187" i="5" s="1"/>
  <c r="L106" i="5"/>
  <c r="L187" i="5" s="1"/>
  <c r="J117" i="5"/>
  <c r="M39" i="4"/>
  <c r="E12" i="5"/>
  <c r="R8" i="4"/>
  <c r="R7" i="4"/>
  <c r="T6" i="4"/>
  <c r="T11" i="4" s="1"/>
  <c r="K117" i="5" l="1"/>
  <c r="K187" i="5"/>
  <c r="W132" i="5"/>
  <c r="W153" i="5" s="1"/>
  <c r="O132" i="5"/>
  <c r="O153" i="5" s="1"/>
  <c r="N132" i="5"/>
  <c r="N153" i="5" s="1"/>
  <c r="V132" i="5"/>
  <c r="V153" i="5" s="1"/>
  <c r="M132" i="5"/>
  <c r="M153" i="5" s="1"/>
  <c r="T132" i="5"/>
  <c r="T153" i="5" s="1"/>
  <c r="L132" i="5"/>
  <c r="L153" i="5" s="1"/>
  <c r="Z132" i="5"/>
  <c r="Z153" i="5" s="1"/>
  <c r="Q132" i="5"/>
  <c r="Q153" i="5" s="1"/>
  <c r="P132" i="5"/>
  <c r="P153" i="5" s="1"/>
  <c r="AA132" i="5"/>
  <c r="AA153" i="5" s="1"/>
  <c r="S132" i="5"/>
  <c r="S153" i="5" s="1"/>
  <c r="K132" i="5"/>
  <c r="R132" i="5"/>
  <c r="R153" i="5" s="1"/>
  <c r="Y132" i="5"/>
  <c r="Y153" i="5" s="1"/>
  <c r="I132" i="5"/>
  <c r="X132" i="5"/>
  <c r="X153" i="5" s="1"/>
  <c r="J132" i="5"/>
  <c r="H132" i="5"/>
  <c r="U132" i="5"/>
  <c r="U153" i="5" s="1"/>
  <c r="E132" i="5"/>
  <c r="F106" i="5"/>
  <c r="Z12" i="5"/>
  <c r="I12" i="5"/>
  <c r="O12" i="5"/>
  <c r="R12" i="5"/>
  <c r="T12" i="5"/>
  <c r="H12" i="5"/>
  <c r="W12" i="5"/>
  <c r="M12" i="5"/>
  <c r="P12" i="5"/>
  <c r="K12" i="5"/>
  <c r="Y12" i="5"/>
  <c r="Q12" i="5"/>
  <c r="J12" i="5"/>
  <c r="S12" i="5"/>
  <c r="V12" i="5"/>
  <c r="X12" i="5"/>
  <c r="U12" i="5"/>
  <c r="N12" i="5"/>
  <c r="L12" i="5"/>
  <c r="AA12" i="5"/>
  <c r="H70" i="4"/>
  <c r="H81" i="4"/>
  <c r="H83" i="4" s="1"/>
  <c r="H84" i="4" s="1"/>
  <c r="E81" i="5" s="1"/>
  <c r="T3" i="4"/>
  <c r="G81" i="4"/>
  <c r="G83" i="4" s="1"/>
  <c r="G84" i="4" s="1"/>
  <c r="E43" i="5" s="1"/>
  <c r="G71" i="4"/>
  <c r="G77" i="4" s="1"/>
  <c r="E58" i="5" s="1"/>
  <c r="H188" i="5" l="1"/>
  <c r="H153" i="5"/>
  <c r="J188" i="5"/>
  <c r="J153" i="5"/>
  <c r="I188" i="5"/>
  <c r="I153" i="5"/>
  <c r="K188" i="5"/>
  <c r="K153" i="5"/>
  <c r="O151" i="5"/>
  <c r="O188" i="5"/>
  <c r="R151" i="5"/>
  <c r="R188" i="5"/>
  <c r="V151" i="5"/>
  <c r="V188" i="5"/>
  <c r="N151" i="5"/>
  <c r="N188" i="5"/>
  <c r="P151" i="5"/>
  <c r="P188" i="5"/>
  <c r="X151" i="5"/>
  <c r="X188" i="5"/>
  <c r="Q151" i="5"/>
  <c r="Q188" i="5"/>
  <c r="W151" i="5"/>
  <c r="W188" i="5"/>
  <c r="T151" i="5"/>
  <c r="T188" i="5"/>
  <c r="M151" i="5"/>
  <c r="M188" i="5"/>
  <c r="U151" i="5"/>
  <c r="U188" i="5"/>
  <c r="Z151" i="5"/>
  <c r="Z188" i="5"/>
  <c r="S151" i="5"/>
  <c r="S188" i="5"/>
  <c r="AA151" i="5"/>
  <c r="AA188" i="5"/>
  <c r="Y151" i="5"/>
  <c r="Y188" i="5"/>
  <c r="L151" i="5"/>
  <c r="L188" i="5"/>
  <c r="Q156" i="5"/>
  <c r="Q211" i="5" s="1"/>
  <c r="Y156" i="5"/>
  <c r="Y211" i="5" s="1"/>
  <c r="R156" i="5"/>
  <c r="R211" i="5" s="1"/>
  <c r="Z156" i="5"/>
  <c r="Z211" i="5" s="1"/>
  <c r="S156" i="5"/>
  <c r="S211" i="5" s="1"/>
  <c r="AA156" i="5"/>
  <c r="AA211" i="5" s="1"/>
  <c r="T156" i="5"/>
  <c r="T211" i="5" s="1"/>
  <c r="P156" i="5"/>
  <c r="P211" i="5" s="1"/>
  <c r="U156" i="5"/>
  <c r="U211" i="5" s="1"/>
  <c r="V156" i="5"/>
  <c r="V211" i="5" s="1"/>
  <c r="X156" i="5"/>
  <c r="X211" i="5" s="1"/>
  <c r="W156" i="5"/>
  <c r="W211" i="5" s="1"/>
  <c r="F34" i="6"/>
  <c r="K34" i="6"/>
  <c r="F132" i="5"/>
  <c r="G34" i="6"/>
  <c r="L34" i="6"/>
  <c r="H34" i="6"/>
  <c r="J34" i="6"/>
  <c r="I34" i="6"/>
  <c r="E34" i="6"/>
  <c r="N34" i="6"/>
  <c r="M34" i="6"/>
  <c r="I43" i="5"/>
  <c r="N81" i="5"/>
  <c r="U81" i="5"/>
  <c r="T81" i="5"/>
  <c r="X81" i="5"/>
  <c r="S81" i="5"/>
  <c r="Z81" i="5"/>
  <c r="L81" i="5"/>
  <c r="P81" i="5"/>
  <c r="O81" i="5"/>
  <c r="V81" i="5"/>
  <c r="I81" i="5"/>
  <c r="AA81" i="5"/>
  <c r="R81" i="5"/>
  <c r="H81" i="5"/>
  <c r="W81" i="5"/>
  <c r="M81" i="5"/>
  <c r="Y81" i="5"/>
  <c r="K81" i="5"/>
  <c r="Q81" i="5"/>
  <c r="J81" i="5"/>
  <c r="S43" i="5"/>
  <c r="R43" i="5"/>
  <c r="P43" i="5"/>
  <c r="T43" i="5"/>
  <c r="K43" i="5"/>
  <c r="N43" i="5"/>
  <c r="Q43" i="5"/>
  <c r="X43" i="5"/>
  <c r="W43" i="5"/>
  <c r="L43" i="5"/>
  <c r="Z43" i="5"/>
  <c r="J43" i="5"/>
  <c r="M43" i="5"/>
  <c r="O43" i="5"/>
  <c r="AA43" i="5"/>
  <c r="V43" i="5"/>
  <c r="Y43" i="5"/>
  <c r="F12" i="5"/>
  <c r="G85" i="4"/>
  <c r="H80" i="4"/>
  <c r="E81" i="4"/>
  <c r="E83" i="4" s="1"/>
  <c r="E84" i="4" s="1"/>
  <c r="F71" i="4"/>
  <c r="F77" i="4" s="1"/>
  <c r="F78" i="4" s="1"/>
  <c r="D71" i="4"/>
  <c r="E71" i="4"/>
  <c r="E77" i="4" s="1"/>
  <c r="E78" i="4" s="1"/>
  <c r="F153" i="5" l="1"/>
  <c r="H154" i="5"/>
  <c r="I154" i="5" s="1"/>
  <c r="L91" i="5"/>
  <c r="J91" i="5"/>
  <c r="I91" i="5"/>
  <c r="O91" i="5"/>
  <c r="N91" i="5"/>
  <c r="H91" i="5"/>
  <c r="K91" i="5"/>
  <c r="M91" i="5"/>
  <c r="F58" i="5"/>
  <c r="F85" i="4"/>
  <c r="H43" i="5"/>
  <c r="U43" i="5"/>
  <c r="F81" i="5"/>
  <c r="J154" i="5" l="1"/>
  <c r="K154" i="5" s="1"/>
  <c r="L78" i="4"/>
  <c r="F43" i="5"/>
  <c r="E85" i="4"/>
  <c r="L154" i="5" l="1"/>
  <c r="M154" i="5" s="1"/>
  <c r="D105" i="7"/>
  <c r="D110" i="7" s="1"/>
  <c r="C105" i="7"/>
  <c r="C110" i="7" s="1"/>
  <c r="N154" i="5" l="1"/>
  <c r="O154" i="5" s="1"/>
  <c r="C114" i="7"/>
  <c r="C118" i="7" s="1"/>
  <c r="D114" i="7"/>
  <c r="D118" i="7" s="1"/>
  <c r="C127" i="7"/>
  <c r="P154" i="5" l="1"/>
  <c r="Q154" i="5" s="1"/>
  <c r="I105" i="7"/>
  <c r="I110" i="7" s="1"/>
  <c r="I114" i="7" s="1"/>
  <c r="I118" i="7" s="1"/>
  <c r="J127" i="7"/>
  <c r="J105" i="7"/>
  <c r="J110" i="7" s="1"/>
  <c r="J114" i="7" s="1"/>
  <c r="J118" i="7" s="1"/>
  <c r="G127" i="7"/>
  <c r="F105" i="7"/>
  <c r="F110" i="7" s="1"/>
  <c r="F114" i="7" s="1"/>
  <c r="F118" i="7" s="1"/>
  <c r="F127" i="7"/>
  <c r="E105" i="7"/>
  <c r="E110" i="7" s="1"/>
  <c r="E114" i="7" s="1"/>
  <c r="E118" i="7" s="1"/>
  <c r="E127" i="7"/>
  <c r="I127" i="7"/>
  <c r="H105" i="7"/>
  <c r="H110" i="7" s="1"/>
  <c r="H127" i="7"/>
  <c r="D127" i="7"/>
  <c r="G105" i="7"/>
  <c r="G110" i="7" s="1"/>
  <c r="W129" i="7"/>
  <c r="R154" i="5" l="1"/>
  <c r="S154" i="5" s="1"/>
  <c r="D129" i="7"/>
  <c r="K129" i="7"/>
  <c r="J129" i="7"/>
  <c r="E129" i="7"/>
  <c r="G129" i="7"/>
  <c r="H114" i="7"/>
  <c r="H118" i="7" s="1"/>
  <c r="H129" i="7"/>
  <c r="L129" i="7"/>
  <c r="G114" i="7"/>
  <c r="G118" i="7" s="1"/>
  <c r="F129" i="7"/>
  <c r="I129" i="7"/>
  <c r="C129" i="7"/>
  <c r="D81" i="4"/>
  <c r="D83" i="4" s="1"/>
  <c r="D84" i="4" s="1"/>
  <c r="T154" i="5" l="1"/>
  <c r="U154" i="5" s="1"/>
  <c r="D77" i="4"/>
  <c r="N16" i="4"/>
  <c r="M14" i="4"/>
  <c r="M15" i="4" s="1"/>
  <c r="M16" i="4" s="1"/>
  <c r="V154" i="5" l="1"/>
  <c r="W154" i="5" s="1"/>
  <c r="D85" i="4"/>
  <c r="E19" i="5"/>
  <c r="X154" i="5" l="1"/>
  <c r="Y154" i="5" s="1"/>
  <c r="K19" i="5"/>
  <c r="R19" i="5"/>
  <c r="N19" i="5"/>
  <c r="Z19" i="5"/>
  <c r="U19" i="5"/>
  <c r="X19" i="5"/>
  <c r="O19" i="5"/>
  <c r="J19" i="5"/>
  <c r="T19" i="5"/>
  <c r="AA19" i="5"/>
  <c r="I19" i="5"/>
  <c r="V19" i="5"/>
  <c r="Q19" i="5"/>
  <c r="L19" i="5"/>
  <c r="M19" i="5"/>
  <c r="P19" i="5"/>
  <c r="W19" i="5"/>
  <c r="Y19" i="5"/>
  <c r="S19" i="5"/>
  <c r="Z154" i="5" l="1"/>
  <c r="AA154" i="5" s="1"/>
  <c r="F19" i="5"/>
  <c r="M3" i="4"/>
  <c r="F29" i="5" l="1"/>
  <c r="F25" i="5"/>
  <c r="F24" i="5"/>
  <c r="M12" i="4"/>
  <c r="E33" i="5" s="1"/>
  <c r="J71" i="4"/>
  <c r="J77" i="4" s="1"/>
  <c r="J85" i="4" s="1"/>
  <c r="M5" i="4"/>
  <c r="Q25" i="5" l="1"/>
  <c r="X25" i="5"/>
  <c r="M25" i="5"/>
  <c r="W25" i="5"/>
  <c r="T25" i="5"/>
  <c r="I8" i="7" s="1"/>
  <c r="AA25" i="5"/>
  <c r="Z25" i="5"/>
  <c r="P25" i="5"/>
  <c r="G8" i="7" s="1"/>
  <c r="O25" i="5"/>
  <c r="N25" i="5"/>
  <c r="F8" i="7" s="1"/>
  <c r="L25" i="5"/>
  <c r="S25" i="5"/>
  <c r="R25" i="5"/>
  <c r="H8" i="7" s="1"/>
  <c r="Y25" i="5"/>
  <c r="V25" i="5"/>
  <c r="K25" i="5"/>
  <c r="D8" i="7" s="1"/>
  <c r="U25" i="5"/>
  <c r="Q24" i="5"/>
  <c r="V24" i="5"/>
  <c r="N24" i="5"/>
  <c r="X24" i="5"/>
  <c r="U24" i="5"/>
  <c r="M24" i="5"/>
  <c r="F31" i="5"/>
  <c r="P24" i="5"/>
  <c r="W24" i="5"/>
  <c r="O24" i="5"/>
  <c r="T24" i="5"/>
  <c r="AA24" i="5"/>
  <c r="Z24" i="5"/>
  <c r="K24" i="5"/>
  <c r="F26" i="5"/>
  <c r="L24" i="5"/>
  <c r="S24" i="5"/>
  <c r="R24" i="5"/>
  <c r="Y24" i="5"/>
  <c r="Q29" i="5"/>
  <c r="O29" i="5"/>
  <c r="T29" i="5"/>
  <c r="I13" i="7" s="1"/>
  <c r="AA29" i="5"/>
  <c r="Z29" i="5"/>
  <c r="K29" i="5"/>
  <c r="L29" i="5"/>
  <c r="S29" i="5"/>
  <c r="R29" i="5"/>
  <c r="V29" i="5"/>
  <c r="Y29" i="5"/>
  <c r="I29" i="5"/>
  <c r="X29" i="5"/>
  <c r="N29" i="5"/>
  <c r="U29" i="5"/>
  <c r="W29" i="5"/>
  <c r="M29" i="5"/>
  <c r="H29" i="5"/>
  <c r="P29" i="5"/>
  <c r="G13" i="7" s="1"/>
  <c r="J29" i="5"/>
  <c r="D13" i="7" s="1"/>
  <c r="L6" i="4"/>
  <c r="T45" i="4"/>
  <c r="T46" i="4" s="1"/>
  <c r="T56" i="4" s="1"/>
  <c r="T57" i="4" s="1"/>
  <c r="T58" i="4" s="1"/>
  <c r="G247" i="5"/>
  <c r="M17" i="4"/>
  <c r="M19" i="4"/>
  <c r="J8" i="7" l="1"/>
  <c r="L8" i="7"/>
  <c r="E8" i="7"/>
  <c r="H13" i="7"/>
  <c r="F13" i="7"/>
  <c r="T26" i="5"/>
  <c r="O26" i="5"/>
  <c r="O27" i="5" s="1"/>
  <c r="K26" i="5"/>
  <c r="D9" i="7" s="1"/>
  <c r="R26" i="5"/>
  <c r="W26" i="5"/>
  <c r="W27" i="5" s="1"/>
  <c r="Z26" i="5"/>
  <c r="Z27" i="5" s="1"/>
  <c r="M26" i="5"/>
  <c r="M27" i="5" s="1"/>
  <c r="Q26" i="5"/>
  <c r="Q27" i="5" s="1"/>
  <c r="X26" i="5"/>
  <c r="X27" i="5" s="1"/>
  <c r="U26" i="5"/>
  <c r="U27" i="5" s="1"/>
  <c r="S26" i="5"/>
  <c r="S27" i="5" s="1"/>
  <c r="S33" i="5" s="1"/>
  <c r="AA26" i="5"/>
  <c r="AA27" i="5" s="1"/>
  <c r="V26" i="5"/>
  <c r="J9" i="7" s="1"/>
  <c r="P26" i="5"/>
  <c r="N26" i="5"/>
  <c r="L26" i="5"/>
  <c r="L27" i="5" s="1"/>
  <c r="Y26" i="5"/>
  <c r="Y27" i="5" s="1"/>
  <c r="I31" i="5"/>
  <c r="I33" i="5" s="1"/>
  <c r="AA31" i="5"/>
  <c r="N31" i="5"/>
  <c r="X31" i="5"/>
  <c r="Y31" i="5"/>
  <c r="P31" i="5"/>
  <c r="U31" i="5"/>
  <c r="H31" i="5"/>
  <c r="V31" i="5"/>
  <c r="R31" i="5"/>
  <c r="H15" i="7" s="1"/>
  <c r="H17" i="7" s="1"/>
  <c r="J31" i="5"/>
  <c r="L31" i="5"/>
  <c r="O31" i="5"/>
  <c r="M31" i="5"/>
  <c r="S31" i="5"/>
  <c r="T31" i="5"/>
  <c r="W31" i="5"/>
  <c r="K31" i="5"/>
  <c r="Q31" i="5"/>
  <c r="Z31" i="5"/>
  <c r="D7" i="7"/>
  <c r="C13" i="7"/>
  <c r="J13" i="7"/>
  <c r="L7" i="7"/>
  <c r="I7" i="7"/>
  <c r="T27" i="5"/>
  <c r="F7" i="7"/>
  <c r="K7" i="7"/>
  <c r="E13" i="7"/>
  <c r="H7" i="7"/>
  <c r="R27" i="5"/>
  <c r="J7" i="7"/>
  <c r="V27" i="5"/>
  <c r="V33" i="5" s="1"/>
  <c r="K8" i="7"/>
  <c r="K13" i="7"/>
  <c r="L13" i="7"/>
  <c r="E7" i="7"/>
  <c r="G7" i="7"/>
  <c r="E114" i="5"/>
  <c r="U114" i="5" s="1"/>
  <c r="K77" i="4"/>
  <c r="K85" i="4" s="1"/>
  <c r="G248" i="5"/>
  <c r="G249" i="5" s="1"/>
  <c r="G251" i="5" s="1"/>
  <c r="R33" i="5" l="1"/>
  <c r="L15" i="7"/>
  <c r="L17" i="7" s="1"/>
  <c r="G9" i="7"/>
  <c r="G11" i="7" s="1"/>
  <c r="W33" i="5"/>
  <c r="W36" i="5" s="1"/>
  <c r="P27" i="5"/>
  <c r="P33" i="5" s="1"/>
  <c r="AA33" i="5"/>
  <c r="F9" i="7"/>
  <c r="F11" i="7" s="1"/>
  <c r="K15" i="7"/>
  <c r="K17" i="7" s="1"/>
  <c r="F15" i="7"/>
  <c r="F17" i="7" s="1"/>
  <c r="E15" i="7"/>
  <c r="E17" i="7" s="1"/>
  <c r="H9" i="7"/>
  <c r="H11" i="7" s="1"/>
  <c r="H19" i="7" s="1"/>
  <c r="H49" i="7" s="1"/>
  <c r="Z33" i="5"/>
  <c r="V36" i="5"/>
  <c r="X33" i="5"/>
  <c r="L33" i="5"/>
  <c r="L194" i="5" s="1"/>
  <c r="R36" i="5"/>
  <c r="I15" i="7"/>
  <c r="I17" i="7" s="1"/>
  <c r="C15" i="7"/>
  <c r="C17" i="7" s="1"/>
  <c r="C19" i="7" s="1"/>
  <c r="C49" i="7" s="1"/>
  <c r="N27" i="5"/>
  <c r="N33" i="5" s="1"/>
  <c r="N194" i="5" s="1"/>
  <c r="K27" i="5"/>
  <c r="K33" i="5" s="1"/>
  <c r="E9" i="7"/>
  <c r="E11" i="7" s="1"/>
  <c r="E19" i="7" s="1"/>
  <c r="E49" i="7" s="1"/>
  <c r="Q33" i="5"/>
  <c r="T33" i="5"/>
  <c r="G15" i="7"/>
  <c r="G17" i="7" s="1"/>
  <c r="M33" i="5"/>
  <c r="L9" i="7"/>
  <c r="L11" i="7" s="1"/>
  <c r="L19" i="7" s="1"/>
  <c r="L49" i="7" s="1"/>
  <c r="J11" i="7"/>
  <c r="J33" i="5"/>
  <c r="D15" i="7"/>
  <c r="D17" i="7" s="1"/>
  <c r="D11" i="7"/>
  <c r="S36" i="5"/>
  <c r="H33" i="5"/>
  <c r="J15" i="7"/>
  <c r="J17" i="7" s="1"/>
  <c r="I194" i="5"/>
  <c r="I36" i="5"/>
  <c r="U33" i="5"/>
  <c r="O33" i="5"/>
  <c r="Y33" i="5"/>
  <c r="K9" i="7"/>
  <c r="K11" i="7" s="1"/>
  <c r="I9" i="7"/>
  <c r="I11" i="7" s="1"/>
  <c r="U111" i="5"/>
  <c r="U112" i="5" s="1"/>
  <c r="U195" i="5"/>
  <c r="G327" i="5"/>
  <c r="G265" i="5"/>
  <c r="Q114" i="5"/>
  <c r="N114" i="5"/>
  <c r="W114" i="5"/>
  <c r="W195" i="5" s="1"/>
  <c r="S114" i="5"/>
  <c r="S195" i="5" s="1"/>
  <c r="V114" i="5"/>
  <c r="V195" i="5" s="1"/>
  <c r="P114" i="5"/>
  <c r="R114" i="5"/>
  <c r="R195" i="5" s="1"/>
  <c r="O114" i="5"/>
  <c r="AA114" i="5"/>
  <c r="X114" i="5"/>
  <c r="X195" i="5" s="1"/>
  <c r="M114" i="5"/>
  <c r="T114" i="5"/>
  <c r="T195" i="5" s="1"/>
  <c r="Y114" i="5"/>
  <c r="Y195" i="5" s="1"/>
  <c r="L114" i="5"/>
  <c r="Z114" i="5"/>
  <c r="Z195" i="5" s="1"/>
  <c r="U117" i="5"/>
  <c r="U124" i="5" s="1"/>
  <c r="AA35" i="5" l="1"/>
  <c r="AA36" i="5"/>
  <c r="Z36" i="5"/>
  <c r="AA195" i="5"/>
  <c r="AA117" i="5"/>
  <c r="N36" i="5"/>
  <c r="F35" i="5"/>
  <c r="AB36" i="5"/>
  <c r="K19" i="7"/>
  <c r="K49" i="7" s="1"/>
  <c r="K59" i="7" s="1"/>
  <c r="L36" i="5"/>
  <c r="I19" i="7"/>
  <c r="I49" i="7" s="1"/>
  <c r="I59" i="7" s="1"/>
  <c r="D19" i="7"/>
  <c r="D49" i="7" s="1"/>
  <c r="D59" i="7" s="1"/>
  <c r="F19" i="7"/>
  <c r="F49" i="7" s="1"/>
  <c r="F59" i="7" s="1"/>
  <c r="X36" i="5"/>
  <c r="J19" i="7"/>
  <c r="J49" i="7" s="1"/>
  <c r="J59" i="7" s="1"/>
  <c r="P36" i="5"/>
  <c r="H194" i="5"/>
  <c r="H36" i="5"/>
  <c r="F33" i="5"/>
  <c r="U36" i="5"/>
  <c r="M194" i="5"/>
  <c r="M36" i="5"/>
  <c r="Y36" i="5"/>
  <c r="H59" i="7"/>
  <c r="J194" i="5"/>
  <c r="J36" i="5"/>
  <c r="T36" i="5"/>
  <c r="Q36" i="5"/>
  <c r="L59" i="7"/>
  <c r="E59" i="7"/>
  <c r="G19" i="7"/>
  <c r="G49" i="7" s="1"/>
  <c r="K194" i="5"/>
  <c r="K36" i="5"/>
  <c r="C59" i="7"/>
  <c r="O194" i="5"/>
  <c r="O36" i="5"/>
  <c r="S117" i="5"/>
  <c r="S124" i="5" s="1"/>
  <c r="S111" i="5"/>
  <c r="S112" i="5" s="1"/>
  <c r="X117" i="5"/>
  <c r="X124" i="5" s="1"/>
  <c r="X111" i="5"/>
  <c r="X112" i="5" s="1"/>
  <c r="W117" i="5"/>
  <c r="W124" i="5" s="1"/>
  <c r="W111" i="5"/>
  <c r="W112" i="5" s="1"/>
  <c r="AA116" i="5"/>
  <c r="AA124" i="5" s="1"/>
  <c r="AA111" i="5"/>
  <c r="AA112" i="5" s="1"/>
  <c r="L117" i="5"/>
  <c r="L111" i="5"/>
  <c r="P117" i="5"/>
  <c r="P111" i="5"/>
  <c r="Y117" i="5"/>
  <c r="Y124" i="5" s="1"/>
  <c r="Y111" i="5"/>
  <c r="Y112" i="5" s="1"/>
  <c r="V117" i="5"/>
  <c r="V124" i="5" s="1"/>
  <c r="V111" i="5"/>
  <c r="V112" i="5" s="1"/>
  <c r="T117" i="5"/>
  <c r="T124" i="5" s="1"/>
  <c r="T111" i="5"/>
  <c r="T112" i="5" s="1"/>
  <c r="M117" i="5"/>
  <c r="M111" i="5"/>
  <c r="N117" i="5"/>
  <c r="N111" i="5"/>
  <c r="Q117" i="5"/>
  <c r="Q111" i="5"/>
  <c r="Q112" i="5" s="1"/>
  <c r="O117" i="5"/>
  <c r="O111" i="5"/>
  <c r="Z117" i="5"/>
  <c r="Z124" i="5" s="1"/>
  <c r="Z111" i="5"/>
  <c r="Z112" i="5" s="1"/>
  <c r="R117" i="5"/>
  <c r="R124" i="5" s="1"/>
  <c r="R111" i="5"/>
  <c r="R112" i="5" s="1"/>
  <c r="F114" i="5"/>
  <c r="G336" i="5"/>
  <c r="G252" i="5"/>
  <c r="G59" i="7" l="1"/>
  <c r="F36" i="5"/>
  <c r="O112" i="5"/>
  <c r="L112" i="5"/>
  <c r="P112" i="5"/>
  <c r="N112" i="5"/>
  <c r="N126" i="5"/>
  <c r="Q126" i="5" s="1"/>
  <c r="T126" i="5" s="1"/>
  <c r="W126" i="5" s="1"/>
  <c r="Z126" i="5" s="1"/>
  <c r="M112" i="5"/>
  <c r="M126" i="5"/>
  <c r="P126" i="5" s="1"/>
  <c r="S126" i="5" s="1"/>
  <c r="V126" i="5" s="1"/>
  <c r="Y126" i="5" s="1"/>
  <c r="F117" i="5"/>
  <c r="F116" i="5"/>
  <c r="AB116" i="5"/>
  <c r="G337" i="5"/>
  <c r="G342" i="5"/>
  <c r="I121" i="5" l="1"/>
  <c r="I124" i="5" l="1"/>
  <c r="I195" i="5"/>
  <c r="I278" i="5"/>
  <c r="J121" i="5"/>
  <c r="J124" i="5" l="1"/>
  <c r="J195" i="5"/>
  <c r="J278" i="5"/>
  <c r="K121" i="5"/>
  <c r="K124" i="5" l="1"/>
  <c r="K195" i="5"/>
  <c r="K278" i="5"/>
  <c r="M121" i="5"/>
  <c r="M124" i="5" l="1"/>
  <c r="M195" i="5"/>
  <c r="M198" i="5" s="1"/>
  <c r="M278" i="5"/>
  <c r="N121" i="5"/>
  <c r="N124" i="5" l="1"/>
  <c r="N195" i="5"/>
  <c r="N198" i="5" s="1"/>
  <c r="N278" i="5"/>
  <c r="O121" i="5"/>
  <c r="O124" i="5" l="1"/>
  <c r="O195" i="5"/>
  <c r="O198" i="5" s="1"/>
  <c r="O278" i="5"/>
  <c r="P121" i="5"/>
  <c r="P124" i="5" l="1"/>
  <c r="P195" i="5"/>
  <c r="P278" i="5"/>
  <c r="Q121" i="5"/>
  <c r="Q195" i="5" s="1"/>
  <c r="Q278" i="5" l="1"/>
  <c r="Q124" i="5"/>
  <c r="L121" i="5"/>
  <c r="L124" i="5" l="1"/>
  <c r="L195" i="5"/>
  <c r="L198" i="5" s="1"/>
  <c r="L278" i="5"/>
  <c r="C81" i="4"/>
  <c r="C83" i="4"/>
  <c r="I70" i="4"/>
  <c r="L57" i="4" s="1"/>
  <c r="C71" i="4"/>
  <c r="C77" i="4"/>
  <c r="L58" i="4" l="1"/>
  <c r="O58" i="4" s="1"/>
  <c r="O57" i="4"/>
  <c r="E261" i="5" s="1"/>
  <c r="I66" i="4"/>
  <c r="I67" i="4" s="1"/>
  <c r="L70" i="4"/>
  <c r="C84" i="4"/>
  <c r="C85" i="4" s="1"/>
  <c r="S14" i="4"/>
  <c r="T14" i="4" s="1"/>
  <c r="T15" i="4" s="1"/>
  <c r="T28" i="4" s="1"/>
  <c r="T29" i="4" s="1"/>
  <c r="T30" i="4" s="1"/>
  <c r="H77" i="4" s="1"/>
  <c r="L71" i="4"/>
  <c r="I81" i="4"/>
  <c r="I83" i="4" s="1"/>
  <c r="I84" i="4" s="1"/>
  <c r="E77" i="5"/>
  <c r="E89" i="5" l="1"/>
  <c r="E91" i="5"/>
  <c r="L77" i="4"/>
  <c r="L74" i="4" s="1"/>
  <c r="E62" i="5"/>
  <c r="Z62" i="5" s="1"/>
  <c r="L81" i="4"/>
  <c r="L80" i="4" s="1"/>
  <c r="N57" i="4"/>
  <c r="G326" i="5" s="1"/>
  <c r="F326" i="5" s="1"/>
  <c r="L83" i="4"/>
  <c r="L82" i="4" s="1"/>
  <c r="Q89" i="5" l="1"/>
  <c r="S89" i="5"/>
  <c r="X89" i="5"/>
  <c r="X194" i="5" s="1"/>
  <c r="Z89" i="5"/>
  <c r="Z194" i="5" s="1"/>
  <c r="AA89" i="5"/>
  <c r="V89" i="5"/>
  <c r="R89" i="5"/>
  <c r="T89" i="5"/>
  <c r="U89" i="5"/>
  <c r="Y89" i="5"/>
  <c r="Y194" i="5" s="1"/>
  <c r="W89" i="5"/>
  <c r="P89" i="5"/>
  <c r="Z186" i="5"/>
  <c r="Z190" i="5" s="1"/>
  <c r="Z97" i="5"/>
  <c r="Z245" i="5"/>
  <c r="Z162" i="5" s="1"/>
  <c r="Z77" i="5"/>
  <c r="G341" i="5"/>
  <c r="G344" i="5" s="1"/>
  <c r="G223" i="5"/>
  <c r="F274" i="5"/>
  <c r="F287" i="5"/>
  <c r="L62" i="5"/>
  <c r="R62" i="5"/>
  <c r="U62" i="5"/>
  <c r="M62" i="5"/>
  <c r="I62" i="5"/>
  <c r="X62" i="5"/>
  <c r="Q62" i="5"/>
  <c r="H62" i="5"/>
  <c r="S62" i="5"/>
  <c r="N58" i="4"/>
  <c r="L61" i="4"/>
  <c r="O62" i="5"/>
  <c r="N62" i="5"/>
  <c r="P62" i="5"/>
  <c r="V62" i="5"/>
  <c r="T62" i="5"/>
  <c r="W62" i="5"/>
  <c r="J62" i="5"/>
  <c r="Y62" i="5"/>
  <c r="K62" i="5"/>
  <c r="AA62" i="5"/>
  <c r="G329" i="5"/>
  <c r="L84" i="4"/>
  <c r="L85" i="4" s="1"/>
  <c r="AA91" i="5" l="1"/>
  <c r="AA194" i="5"/>
  <c r="T91" i="5"/>
  <c r="T194" i="5"/>
  <c r="T198" i="5" s="1"/>
  <c r="R91" i="5"/>
  <c r="R194" i="5"/>
  <c r="R198" i="5" s="1"/>
  <c r="V91" i="5"/>
  <c r="V194" i="5"/>
  <c r="V198" i="5" s="1"/>
  <c r="Z91" i="5"/>
  <c r="Z246" i="5" s="1"/>
  <c r="Z163" i="5" s="1"/>
  <c r="Z198" i="5"/>
  <c r="W91" i="5"/>
  <c r="W194" i="5"/>
  <c r="W198" i="5" s="1"/>
  <c r="X91" i="5"/>
  <c r="X198" i="5"/>
  <c r="F89" i="5"/>
  <c r="P91" i="5"/>
  <c r="P86" i="5" s="1"/>
  <c r="P194" i="5"/>
  <c r="P198" i="5" s="1"/>
  <c r="Y91" i="5"/>
  <c r="Y86" i="5" s="1"/>
  <c r="Y198" i="5"/>
  <c r="S91" i="5"/>
  <c r="S86" i="5" s="1"/>
  <c r="S194" i="5"/>
  <c r="S198" i="5" s="1"/>
  <c r="U91" i="5"/>
  <c r="U86" i="5" s="1"/>
  <c r="U194" i="5"/>
  <c r="U198" i="5" s="1"/>
  <c r="Q91" i="5"/>
  <c r="Q86" i="5" s="1"/>
  <c r="Q194" i="5"/>
  <c r="Q198" i="5" s="1"/>
  <c r="M186" i="5"/>
  <c r="M190" i="5" s="1"/>
  <c r="M97" i="5"/>
  <c r="T186" i="5"/>
  <c r="T190" i="5" s="1"/>
  <c r="T97" i="5"/>
  <c r="R186" i="5"/>
  <c r="R190" i="5" s="1"/>
  <c r="R97" i="5"/>
  <c r="W186" i="5"/>
  <c r="W190" i="5" s="1"/>
  <c r="W97" i="5"/>
  <c r="U186" i="5"/>
  <c r="U190" i="5" s="1"/>
  <c r="U97" i="5"/>
  <c r="V186" i="5"/>
  <c r="V190" i="5" s="1"/>
  <c r="V97" i="5"/>
  <c r="S186" i="5"/>
  <c r="S190" i="5" s="1"/>
  <c r="S97" i="5"/>
  <c r="N186" i="5"/>
  <c r="N190" i="5" s="1"/>
  <c r="N97" i="5"/>
  <c r="H186" i="5"/>
  <c r="H190" i="5" s="1"/>
  <c r="H97" i="5"/>
  <c r="P186" i="5"/>
  <c r="P190" i="5" s="1"/>
  <c r="P97" i="5"/>
  <c r="L186" i="5"/>
  <c r="L190" i="5" s="1"/>
  <c r="L97" i="5"/>
  <c r="AA186" i="5"/>
  <c r="AA190" i="5" s="1"/>
  <c r="AA97" i="5"/>
  <c r="K186" i="5"/>
  <c r="K190" i="5" s="1"/>
  <c r="K97" i="5"/>
  <c r="O186" i="5"/>
  <c r="O190" i="5" s="1"/>
  <c r="O97" i="5"/>
  <c r="Q186" i="5"/>
  <c r="Q190" i="5" s="1"/>
  <c r="Q97" i="5"/>
  <c r="Y186" i="5"/>
  <c r="Y190" i="5" s="1"/>
  <c r="Y97" i="5"/>
  <c r="X186" i="5"/>
  <c r="X190" i="5" s="1"/>
  <c r="X97" i="5"/>
  <c r="J186" i="5"/>
  <c r="J190" i="5" s="1"/>
  <c r="J97" i="5"/>
  <c r="I186" i="5"/>
  <c r="I190" i="5" s="1"/>
  <c r="I97" i="5"/>
  <c r="G226" i="5"/>
  <c r="F223" i="5"/>
  <c r="W86" i="5"/>
  <c r="O245" i="5"/>
  <c r="O162" i="5" s="1"/>
  <c r="W245" i="5"/>
  <c r="W162" i="5" s="1"/>
  <c r="M245" i="5"/>
  <c r="M162" i="5" s="1"/>
  <c r="V245" i="5"/>
  <c r="V162" i="5" s="1"/>
  <c r="U245" i="5"/>
  <c r="U162" i="5" s="1"/>
  <c r="K245" i="5"/>
  <c r="K162" i="5" s="1"/>
  <c r="H245" i="5"/>
  <c r="H162" i="5" s="1"/>
  <c r="Y245" i="5"/>
  <c r="Y162" i="5" s="1"/>
  <c r="Q245" i="5"/>
  <c r="Q162" i="5" s="1"/>
  <c r="J245" i="5"/>
  <c r="J162" i="5" s="1"/>
  <c r="X245" i="5"/>
  <c r="X162" i="5" s="1"/>
  <c r="I245" i="5"/>
  <c r="I162" i="5" s="1"/>
  <c r="T245" i="5"/>
  <c r="T162" i="5" s="1"/>
  <c r="P245" i="5"/>
  <c r="P162" i="5" s="1"/>
  <c r="R245" i="5"/>
  <c r="R162" i="5" s="1"/>
  <c r="AA245" i="5"/>
  <c r="AA162" i="5" s="1"/>
  <c r="N245" i="5"/>
  <c r="N162" i="5" s="1"/>
  <c r="S245" i="5"/>
  <c r="S162" i="5" s="1"/>
  <c r="L245" i="5"/>
  <c r="L162" i="5" s="1"/>
  <c r="J77" i="5"/>
  <c r="J246" i="5" s="1"/>
  <c r="J163" i="5" s="1"/>
  <c r="H77" i="5"/>
  <c r="H246" i="5" s="1"/>
  <c r="H163" i="5" s="1"/>
  <c r="Z94" i="5"/>
  <c r="X86" i="5"/>
  <c r="L77" i="5"/>
  <c r="L246" i="5" s="1"/>
  <c r="L163" i="5" s="1"/>
  <c r="T77" i="5"/>
  <c r="X77" i="5"/>
  <c r="X246" i="5" s="1"/>
  <c r="X163" i="5" s="1"/>
  <c r="O77" i="5"/>
  <c r="O246" i="5" s="1"/>
  <c r="O163" i="5" s="1"/>
  <c r="R77" i="5"/>
  <c r="R246" i="5" s="1"/>
  <c r="R163" i="5" s="1"/>
  <c r="W77" i="5"/>
  <c r="W246" i="5" s="1"/>
  <c r="W163" i="5" s="1"/>
  <c r="V77" i="5"/>
  <c r="I77" i="5"/>
  <c r="P77" i="5"/>
  <c r="F341" i="5"/>
  <c r="M77" i="5"/>
  <c r="M246" i="5" s="1"/>
  <c r="M163" i="5" s="1"/>
  <c r="K77" i="5"/>
  <c r="K246" i="5" s="1"/>
  <c r="K163" i="5" s="1"/>
  <c r="Y77" i="5"/>
  <c r="S77" i="5"/>
  <c r="Q77" i="5"/>
  <c r="AA77" i="5"/>
  <c r="N77" i="5"/>
  <c r="N246" i="5" s="1"/>
  <c r="N163" i="5" s="1"/>
  <c r="U77" i="5"/>
  <c r="V86" i="5"/>
  <c r="T86" i="5"/>
  <c r="Z86" i="5"/>
  <c r="R86" i="5"/>
  <c r="AA86" i="5"/>
  <c r="G289" i="5"/>
  <c r="G290" i="5"/>
  <c r="E343" i="5"/>
  <c r="T343" i="5" s="1"/>
  <c r="O61" i="4"/>
  <c r="F261" i="5"/>
  <c r="F312" i="5"/>
  <c r="F314" i="5" s="1"/>
  <c r="E314" i="5" s="1"/>
  <c r="G262" i="5"/>
  <c r="G277" i="5"/>
  <c r="G276" i="5"/>
  <c r="Q328" i="5"/>
  <c r="P328" i="5"/>
  <c r="S328" i="5"/>
  <c r="Z328" i="5"/>
  <c r="R328" i="5"/>
  <c r="T328" i="5"/>
  <c r="F62" i="5"/>
  <c r="U246" i="5" l="1"/>
  <c r="U163" i="5" s="1"/>
  <c r="Q246" i="5"/>
  <c r="Q163" i="5" s="1"/>
  <c r="Y246" i="5"/>
  <c r="Y163" i="5" s="1"/>
  <c r="F91" i="5"/>
  <c r="W87" i="5"/>
  <c r="F97" i="5"/>
  <c r="H98" i="5"/>
  <c r="G227" i="5"/>
  <c r="J94" i="5"/>
  <c r="F245" i="5"/>
  <c r="AA87" i="5"/>
  <c r="T87" i="5"/>
  <c r="P87" i="5"/>
  <c r="U87" i="5"/>
  <c r="V87" i="5"/>
  <c r="R87" i="5"/>
  <c r="Q87" i="5"/>
  <c r="Y87" i="5"/>
  <c r="S87" i="5"/>
  <c r="Z87" i="5"/>
  <c r="X87" i="5"/>
  <c r="T94" i="5"/>
  <c r="T246" i="5"/>
  <c r="T163" i="5" s="1"/>
  <c r="P94" i="5"/>
  <c r="P246" i="5"/>
  <c r="P163" i="5" s="1"/>
  <c r="I94" i="5"/>
  <c r="I246" i="5"/>
  <c r="I163" i="5" s="1"/>
  <c r="V94" i="5"/>
  <c r="V246" i="5"/>
  <c r="V163" i="5" s="1"/>
  <c r="AA93" i="5"/>
  <c r="AA223" i="5" s="1"/>
  <c r="AA246" i="5"/>
  <c r="AA163" i="5" s="1"/>
  <c r="S94" i="5"/>
  <c r="S246" i="5"/>
  <c r="S163" i="5" s="1"/>
  <c r="H94" i="5"/>
  <c r="H95" i="5" s="1"/>
  <c r="AA94" i="5"/>
  <c r="N94" i="5"/>
  <c r="Y94" i="5"/>
  <c r="L94" i="5"/>
  <c r="O94" i="5"/>
  <c r="X94" i="5"/>
  <c r="U94" i="5"/>
  <c r="K94" i="5"/>
  <c r="R94" i="5"/>
  <c r="M94" i="5"/>
  <c r="W94" i="5"/>
  <c r="Q94" i="5"/>
  <c r="F77" i="5"/>
  <c r="S343" i="5"/>
  <c r="Z343" i="5"/>
  <c r="R343" i="5"/>
  <c r="U343" i="5"/>
  <c r="F262" i="5"/>
  <c r="Q343" i="5"/>
  <c r="P343" i="5"/>
  <c r="G279" i="5"/>
  <c r="G264" i="5"/>
  <c r="G263" i="5"/>
  <c r="G296" i="5"/>
  <c r="F328" i="5"/>
  <c r="H100" i="5" l="1"/>
  <c r="H209" i="5" s="1"/>
  <c r="H213" i="5" s="1"/>
  <c r="H214" i="5" s="1"/>
  <c r="I98" i="5"/>
  <c r="E14" i="6" s="1"/>
  <c r="AB93" i="5"/>
  <c r="AA198" i="5"/>
  <c r="F246" i="5"/>
  <c r="F93" i="5"/>
  <c r="F94" i="5"/>
  <c r="I95" i="5"/>
  <c r="G297" i="5"/>
  <c r="G266" i="5"/>
  <c r="G267" i="5" s="1"/>
  <c r="G280" i="5"/>
  <c r="J98" i="5" l="1"/>
  <c r="I100" i="5"/>
  <c r="J95" i="5"/>
  <c r="K95" i="5" s="1"/>
  <c r="L95" i="5" s="1"/>
  <c r="M95" i="5" s="1"/>
  <c r="N95" i="5" s="1"/>
  <c r="O95" i="5" s="1"/>
  <c r="P95" i="5" s="1"/>
  <c r="Q95" i="5" s="1"/>
  <c r="R95" i="5" s="1"/>
  <c r="S95" i="5" s="1"/>
  <c r="T95" i="5" s="1"/>
  <c r="U95" i="5" s="1"/>
  <c r="V95" i="5" s="1"/>
  <c r="W95" i="5" s="1"/>
  <c r="X95" i="5" s="1"/>
  <c r="Y95" i="5" s="1"/>
  <c r="Z95" i="5" s="1"/>
  <c r="AA95" i="5" s="1"/>
  <c r="F70" i="6"/>
  <c r="G303" i="5"/>
  <c r="G304" i="5" s="1"/>
  <c r="I209" i="5" l="1"/>
  <c r="I213" i="5" s="1"/>
  <c r="K98" i="5"/>
  <c r="F14" i="6" s="1"/>
  <c r="J100" i="5"/>
  <c r="J209" i="5" s="1"/>
  <c r="J213" i="5" s="1"/>
  <c r="F95" i="5"/>
  <c r="E17" i="6" l="1"/>
  <c r="I214" i="5"/>
  <c r="J214" i="5" s="1"/>
  <c r="L98" i="5"/>
  <c r="K100" i="5"/>
  <c r="F343" i="5"/>
  <c r="H144" i="5"/>
  <c r="I144" i="5"/>
  <c r="J144" i="5"/>
  <c r="K144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G57" i="6"/>
  <c r="H57" i="6" s="1"/>
  <c r="W126" i="7"/>
  <c r="C128" i="7"/>
  <c r="C126" i="7" s="1"/>
  <c r="C131" i="7" s="1"/>
  <c r="D128" i="7"/>
  <c r="D126" i="7" s="1"/>
  <c r="D131" i="7" s="1"/>
  <c r="E128" i="7"/>
  <c r="E126" i="7" s="1"/>
  <c r="E131" i="7" s="1"/>
  <c r="F128" i="7"/>
  <c r="F126" i="7" s="1"/>
  <c r="F131" i="7" s="1"/>
  <c r="G128" i="7"/>
  <c r="G126" i="7" s="1"/>
  <c r="G131" i="7" s="1"/>
  <c r="H128" i="7"/>
  <c r="H126" i="7" s="1"/>
  <c r="H131" i="7" s="1"/>
  <c r="I128" i="7"/>
  <c r="I126" i="7" s="1"/>
  <c r="I131" i="7" s="1"/>
  <c r="J128" i="7"/>
  <c r="J126" i="7" s="1"/>
  <c r="J131" i="7" s="1"/>
  <c r="K128" i="7"/>
  <c r="K126" i="7" s="1"/>
  <c r="K131" i="7" s="1"/>
  <c r="L128" i="7"/>
  <c r="L126" i="7" s="1"/>
  <c r="L131" i="7" s="1"/>
  <c r="W128" i="7"/>
  <c r="K209" i="5" l="1"/>
  <c r="K213" i="5" s="1"/>
  <c r="F17" i="6" s="1"/>
  <c r="M98" i="5"/>
  <c r="G14" i="6" s="1"/>
  <c r="L100" i="5"/>
  <c r="L209" i="5" s="1"/>
  <c r="L213" i="5" s="1"/>
  <c r="V279" i="5"/>
  <c r="N279" i="5"/>
  <c r="H296" i="5"/>
  <c r="H297" i="5" s="1"/>
  <c r="W279" i="5"/>
  <c r="O279" i="5"/>
  <c r="H149" i="5"/>
  <c r="AA279" i="5"/>
  <c r="S279" i="5"/>
  <c r="K279" i="5"/>
  <c r="Z279" i="5"/>
  <c r="R279" i="5"/>
  <c r="J279" i="5"/>
  <c r="K149" i="5"/>
  <c r="J149" i="5"/>
  <c r="I149" i="5"/>
  <c r="T296" i="5"/>
  <c r="X296" i="5"/>
  <c r="P296" i="5"/>
  <c r="W296" i="5"/>
  <c r="O296" i="5"/>
  <c r="Y296" i="5"/>
  <c r="I296" i="5"/>
  <c r="U296" i="5"/>
  <c r="M296" i="5"/>
  <c r="L296" i="5"/>
  <c r="I279" i="5"/>
  <c r="Y279" i="5"/>
  <c r="Q279" i="5"/>
  <c r="Q296" i="5"/>
  <c r="F264" i="5"/>
  <c r="F247" i="5"/>
  <c r="Z296" i="5"/>
  <c r="R296" i="5"/>
  <c r="J296" i="5"/>
  <c r="V296" i="5"/>
  <c r="N296" i="5"/>
  <c r="T279" i="5"/>
  <c r="L279" i="5"/>
  <c r="X279" i="5"/>
  <c r="P279" i="5"/>
  <c r="F263" i="5"/>
  <c r="F277" i="5"/>
  <c r="F290" i="5"/>
  <c r="H248" i="5"/>
  <c r="H249" i="5" s="1"/>
  <c r="F144" i="5"/>
  <c r="AA296" i="5"/>
  <c r="S296" i="5"/>
  <c r="K296" i="5"/>
  <c r="U279" i="5"/>
  <c r="M279" i="5"/>
  <c r="F276" i="5"/>
  <c r="F289" i="5"/>
  <c r="H265" i="5" l="1"/>
  <c r="H266" i="5" s="1"/>
  <c r="H164" i="5"/>
  <c r="H165" i="5" s="1"/>
  <c r="K214" i="5"/>
  <c r="L214" i="5" s="1"/>
  <c r="N98" i="5"/>
  <c r="M100" i="5"/>
  <c r="M209" i="5" s="1"/>
  <c r="M213" i="5" s="1"/>
  <c r="G17" i="6" s="1"/>
  <c r="J151" i="5"/>
  <c r="J196" i="5"/>
  <c r="J198" i="5" s="1"/>
  <c r="H151" i="5"/>
  <c r="H196" i="5"/>
  <c r="K151" i="5"/>
  <c r="K196" i="5"/>
  <c r="K198" i="5" s="1"/>
  <c r="I151" i="5"/>
  <c r="I196" i="5"/>
  <c r="I198" i="5" s="1"/>
  <c r="I297" i="5"/>
  <c r="J297" i="5" s="1"/>
  <c r="K297" i="5" s="1"/>
  <c r="L297" i="5" s="1"/>
  <c r="M297" i="5" s="1"/>
  <c r="N297" i="5" s="1"/>
  <c r="O297" i="5" s="1"/>
  <c r="P297" i="5" s="1"/>
  <c r="Q297" i="5" s="1"/>
  <c r="R297" i="5" s="1"/>
  <c r="S297" i="5" s="1"/>
  <c r="T297" i="5" s="1"/>
  <c r="U297" i="5" s="1"/>
  <c r="V297" i="5" s="1"/>
  <c r="W297" i="5" s="1"/>
  <c r="X297" i="5" s="1"/>
  <c r="Y297" i="5" s="1"/>
  <c r="Z297" i="5" s="1"/>
  <c r="AA297" i="5" s="1"/>
  <c r="F149" i="5"/>
  <c r="I248" i="5"/>
  <c r="I249" i="5" s="1"/>
  <c r="I164" i="5" s="1"/>
  <c r="I167" i="5" s="1"/>
  <c r="I171" i="5" s="1"/>
  <c r="I202" i="5" s="1"/>
  <c r="F296" i="5"/>
  <c r="F301" i="5"/>
  <c r="F299" i="5"/>
  <c r="H267" i="5"/>
  <c r="C104" i="7"/>
  <c r="C102" i="7" s="1"/>
  <c r="K104" i="7"/>
  <c r="K102" i="7" s="1"/>
  <c r="D104" i="7"/>
  <c r="L104" i="7"/>
  <c r="E104" i="7"/>
  <c r="E102" i="7" s="1"/>
  <c r="W104" i="7"/>
  <c r="G104" i="7"/>
  <c r="G102" i="7" s="1"/>
  <c r="H104" i="7"/>
  <c r="H102" i="7" s="1"/>
  <c r="I104" i="7"/>
  <c r="I102" i="7" s="1"/>
  <c r="J104" i="7"/>
  <c r="J102" i="7" s="1"/>
  <c r="F104" i="7"/>
  <c r="F102" i="7" s="1"/>
  <c r="H167" i="5" l="1"/>
  <c r="H171" i="5" s="1"/>
  <c r="H202" i="5" s="1"/>
  <c r="M214" i="5"/>
  <c r="D102" i="7"/>
  <c r="D108" i="7" s="1"/>
  <c r="E16" i="6"/>
  <c r="O98" i="5"/>
  <c r="H14" i="6" s="1"/>
  <c r="N100" i="5"/>
  <c r="F151" i="5"/>
  <c r="J248" i="5"/>
  <c r="J249" i="5" s="1"/>
  <c r="J164" i="5" s="1"/>
  <c r="J167" i="5" s="1"/>
  <c r="J171" i="5" s="1"/>
  <c r="J202" i="5" s="1"/>
  <c r="I165" i="5"/>
  <c r="F300" i="5"/>
  <c r="H27" i="6"/>
  <c r="H25" i="6" s="1"/>
  <c r="G108" i="7"/>
  <c r="F27" i="6"/>
  <c r="E108" i="7"/>
  <c r="L27" i="6"/>
  <c r="L25" i="6" s="1"/>
  <c r="K108" i="7"/>
  <c r="I251" i="5"/>
  <c r="I265" i="5"/>
  <c r="F108" i="7"/>
  <c r="G27" i="6"/>
  <c r="J108" i="7"/>
  <c r="K27" i="6"/>
  <c r="K25" i="6" s="1"/>
  <c r="D27" i="6"/>
  <c r="C108" i="7"/>
  <c r="I108" i="7"/>
  <c r="J27" i="6"/>
  <c r="J25" i="6" s="1"/>
  <c r="H108" i="7"/>
  <c r="I27" i="6"/>
  <c r="I25" i="6" s="1"/>
  <c r="E27" i="6" l="1"/>
  <c r="E25" i="6" s="1"/>
  <c r="F16" i="6"/>
  <c r="E13" i="6"/>
  <c r="N209" i="5"/>
  <c r="N213" i="5" s="1"/>
  <c r="N214" i="5" s="1"/>
  <c r="P98" i="5"/>
  <c r="O100" i="5"/>
  <c r="O209" i="5" s="1"/>
  <c r="O213" i="5" s="1"/>
  <c r="H17" i="6" s="1"/>
  <c r="K248" i="5"/>
  <c r="K249" i="5" s="1"/>
  <c r="K164" i="5" s="1"/>
  <c r="K167" i="5" s="1"/>
  <c r="K171" i="5" s="1"/>
  <c r="K202" i="5" s="1"/>
  <c r="J165" i="5"/>
  <c r="I266" i="5"/>
  <c r="I327" i="5"/>
  <c r="I336" i="5"/>
  <c r="J251" i="5"/>
  <c r="J265" i="5"/>
  <c r="J266" i="5" s="1"/>
  <c r="O214" i="5" l="1"/>
  <c r="G16" i="6"/>
  <c r="F13" i="6"/>
  <c r="D51" i="7" s="1"/>
  <c r="C51" i="7"/>
  <c r="E19" i="6"/>
  <c r="Q98" i="5"/>
  <c r="I14" i="6" s="1"/>
  <c r="P100" i="5"/>
  <c r="P209" i="5" s="1"/>
  <c r="P213" i="5" s="1"/>
  <c r="P214" i="5" s="1"/>
  <c r="L248" i="5"/>
  <c r="M248" i="5" s="1"/>
  <c r="K165" i="5"/>
  <c r="J180" i="5"/>
  <c r="J203" i="5" s="1"/>
  <c r="J205" i="5" s="1"/>
  <c r="J217" i="5" s="1"/>
  <c r="J226" i="5" s="1"/>
  <c r="J303" i="5"/>
  <c r="I342" i="5"/>
  <c r="K265" i="5"/>
  <c r="K266" i="5" s="1"/>
  <c r="K251" i="5"/>
  <c r="J327" i="5"/>
  <c r="J329" i="5" s="1"/>
  <c r="J336" i="5"/>
  <c r="I329" i="5"/>
  <c r="I267" i="5"/>
  <c r="I303" i="5"/>
  <c r="C133" i="7" l="1"/>
  <c r="C135" i="7" s="1"/>
  <c r="C139" i="7" s="1"/>
  <c r="C61" i="7"/>
  <c r="D41" i="6" s="1"/>
  <c r="D133" i="7"/>
  <c r="D135" i="7" s="1"/>
  <c r="D139" i="7" s="1"/>
  <c r="D61" i="7"/>
  <c r="D63" i="7" s="1"/>
  <c r="H16" i="6"/>
  <c r="G13" i="6"/>
  <c r="E51" i="7" s="1"/>
  <c r="L249" i="5"/>
  <c r="R98" i="5"/>
  <c r="Q100" i="5"/>
  <c r="Q209" i="5" s="1"/>
  <c r="Q213" i="5" s="1"/>
  <c r="I17" i="6" s="1"/>
  <c r="K327" i="5"/>
  <c r="K336" i="5"/>
  <c r="M249" i="5"/>
  <c r="M164" i="5" s="1"/>
  <c r="M167" i="5" s="1"/>
  <c r="M171" i="5" s="1"/>
  <c r="M202" i="5" s="1"/>
  <c r="N248" i="5"/>
  <c r="I344" i="5"/>
  <c r="J342" i="5"/>
  <c r="J344" i="5" s="1"/>
  <c r="J267" i="5"/>
  <c r="K303" i="5"/>
  <c r="F19" i="6"/>
  <c r="L265" i="5" l="1"/>
  <c r="L266" i="5" s="1"/>
  <c r="L164" i="5"/>
  <c r="L251" i="5"/>
  <c r="Q214" i="5"/>
  <c r="C141" i="7"/>
  <c r="C143" i="7" s="1"/>
  <c r="E41" i="6"/>
  <c r="E133" i="7"/>
  <c r="E135" i="7" s="1"/>
  <c r="E139" i="7" s="1"/>
  <c r="E61" i="7"/>
  <c r="E63" i="7" s="1"/>
  <c r="I16" i="6"/>
  <c r="H13" i="6"/>
  <c r="F51" i="7" s="1"/>
  <c r="I175" i="5"/>
  <c r="I176" i="5" s="1"/>
  <c r="I177" i="5" s="1"/>
  <c r="I180" i="5" s="1"/>
  <c r="I203" i="5" s="1"/>
  <c r="I205" i="5" s="1"/>
  <c r="I217" i="5" s="1"/>
  <c r="I226" i="5" s="1"/>
  <c r="D141" i="7"/>
  <c r="D143" i="7" s="1"/>
  <c r="K175" i="5"/>
  <c r="K176" i="5" s="1"/>
  <c r="K177" i="5" s="1"/>
  <c r="K180" i="5" s="1"/>
  <c r="K203" i="5" s="1"/>
  <c r="K205" i="5" s="1"/>
  <c r="K217" i="5" s="1"/>
  <c r="K226" i="5" s="1"/>
  <c r="C63" i="7"/>
  <c r="S98" i="5"/>
  <c r="J14" i="6" s="1"/>
  <c r="R100" i="5"/>
  <c r="R209" i="5" s="1"/>
  <c r="R213" i="5" s="1"/>
  <c r="L180" i="5"/>
  <c r="L203" i="5" s="1"/>
  <c r="K342" i="5"/>
  <c r="N249" i="5"/>
  <c r="N164" i="5" s="1"/>
  <c r="N167" i="5" s="1"/>
  <c r="N171" i="5" s="1"/>
  <c r="N202" i="5" s="1"/>
  <c r="O248" i="5"/>
  <c r="K329" i="5"/>
  <c r="L327" i="5"/>
  <c r="L329" i="5" s="1"/>
  <c r="L336" i="5"/>
  <c r="K267" i="5"/>
  <c r="L267" i="5" s="1"/>
  <c r="M265" i="5"/>
  <c r="M266" i="5" s="1"/>
  <c r="M251" i="5"/>
  <c r="G19" i="6"/>
  <c r="L303" i="5"/>
  <c r="L167" i="5" l="1"/>
  <c r="L171" i="5" s="1"/>
  <c r="L202" i="5" s="1"/>
  <c r="L205" i="5" s="1"/>
  <c r="L217" i="5" s="1"/>
  <c r="L226" i="5" s="1"/>
  <c r="L165" i="5"/>
  <c r="M165" i="5" s="1"/>
  <c r="N165" i="5" s="1"/>
  <c r="R214" i="5"/>
  <c r="F133" i="7"/>
  <c r="F135" i="7" s="1"/>
  <c r="F139" i="7" s="1"/>
  <c r="F61" i="7"/>
  <c r="F63" i="7" s="1"/>
  <c r="J16" i="6"/>
  <c r="K16" i="6" s="1"/>
  <c r="L16" i="6" s="1"/>
  <c r="M16" i="6" s="1"/>
  <c r="N16" i="6" s="1"/>
  <c r="I13" i="6"/>
  <c r="G51" i="7" s="1"/>
  <c r="E141" i="7"/>
  <c r="E143" i="7" s="1"/>
  <c r="M175" i="5"/>
  <c r="M176" i="5" s="1"/>
  <c r="M177" i="5" s="1"/>
  <c r="M180" i="5" s="1"/>
  <c r="M203" i="5" s="1"/>
  <c r="M205" i="5" s="1"/>
  <c r="M217" i="5" s="1"/>
  <c r="M226" i="5" s="1"/>
  <c r="T98" i="5"/>
  <c r="S100" i="5"/>
  <c r="S209" i="5" s="1"/>
  <c r="S213" i="5" s="1"/>
  <c r="J17" i="6" s="1"/>
  <c r="O249" i="5"/>
  <c r="O164" i="5" s="1"/>
  <c r="O167" i="5" s="1"/>
  <c r="O171" i="5" s="1"/>
  <c r="O202" i="5" s="1"/>
  <c r="P248" i="5"/>
  <c r="K344" i="5"/>
  <c r="H19" i="6"/>
  <c r="M336" i="5"/>
  <c r="M327" i="5"/>
  <c r="M329" i="5" s="1"/>
  <c r="N265" i="5"/>
  <c r="N266" i="5" s="1"/>
  <c r="N251" i="5"/>
  <c r="L342" i="5"/>
  <c r="L344" i="5" s="1"/>
  <c r="M267" i="5"/>
  <c r="M303" i="5"/>
  <c r="S214" i="5" l="1"/>
  <c r="J13" i="6"/>
  <c r="H51" i="7" s="1"/>
  <c r="G133" i="7"/>
  <c r="G135" i="7" s="1"/>
  <c r="G139" i="7" s="1"/>
  <c r="G61" i="7"/>
  <c r="G63" i="7" s="1"/>
  <c r="O175" i="5"/>
  <c r="O176" i="5" s="1"/>
  <c r="O177" i="5" s="1"/>
  <c r="F141" i="7"/>
  <c r="F143" i="7" s="1"/>
  <c r="H133" i="7"/>
  <c r="H135" i="7" s="1"/>
  <c r="H139" i="7" s="1"/>
  <c r="H61" i="7"/>
  <c r="H63" i="7" s="1"/>
  <c r="U98" i="5"/>
  <c r="K14" i="6" s="1"/>
  <c r="T100" i="5"/>
  <c r="T209" i="5" s="1"/>
  <c r="T213" i="5" s="1"/>
  <c r="O165" i="5"/>
  <c r="N180" i="5"/>
  <c r="N203" i="5" s="1"/>
  <c r="N205" i="5" s="1"/>
  <c r="N217" i="5" s="1"/>
  <c r="N226" i="5" s="1"/>
  <c r="O265" i="5"/>
  <c r="O266" i="5" s="1"/>
  <c r="O251" i="5"/>
  <c r="N336" i="5"/>
  <c r="N327" i="5"/>
  <c r="I19" i="6"/>
  <c r="P249" i="5"/>
  <c r="P164" i="5" s="1"/>
  <c r="P167" i="5" s="1"/>
  <c r="P171" i="5" s="1"/>
  <c r="P202" i="5" s="1"/>
  <c r="Q248" i="5"/>
  <c r="M342" i="5"/>
  <c r="N267" i="5"/>
  <c r="N303" i="5"/>
  <c r="T214" i="5" l="1"/>
  <c r="Q175" i="5"/>
  <c r="Q176" i="5" s="1"/>
  <c r="Q177" i="5" s="1"/>
  <c r="G141" i="7"/>
  <c r="G143" i="7" s="1"/>
  <c r="H141" i="7"/>
  <c r="H143" i="7" s="1"/>
  <c r="S175" i="5"/>
  <c r="S176" i="5" s="1"/>
  <c r="S177" i="5" s="1"/>
  <c r="V98" i="5"/>
  <c r="U100" i="5"/>
  <c r="U209" i="5" s="1"/>
  <c r="U213" i="5" s="1"/>
  <c r="K17" i="6" s="1"/>
  <c r="K13" i="6" s="1"/>
  <c r="I51" i="7" s="1"/>
  <c r="O180" i="5"/>
  <c r="O203" i="5" s="1"/>
  <c r="O205" i="5" s="1"/>
  <c r="O217" i="5" s="1"/>
  <c r="O226" i="5" s="1"/>
  <c r="P165" i="5"/>
  <c r="J19" i="6"/>
  <c r="O267" i="5"/>
  <c r="O303" i="5"/>
  <c r="Q249" i="5"/>
  <c r="Q164" i="5" s="1"/>
  <c r="Q167" i="5" s="1"/>
  <c r="Q171" i="5" s="1"/>
  <c r="Q202" i="5" s="1"/>
  <c r="R248" i="5"/>
  <c r="P265" i="5"/>
  <c r="P266" i="5" s="1"/>
  <c r="P251" i="5"/>
  <c r="N342" i="5"/>
  <c r="N344" i="5" s="1"/>
  <c r="M344" i="5"/>
  <c r="O336" i="5"/>
  <c r="O327" i="5"/>
  <c r="O329" i="5" s="1"/>
  <c r="N329" i="5"/>
  <c r="U214" i="5" l="1"/>
  <c r="I133" i="7"/>
  <c r="I135" i="7" s="1"/>
  <c r="I139" i="7" s="1"/>
  <c r="U175" i="5" s="1"/>
  <c r="U176" i="5" s="1"/>
  <c r="U177" i="5" s="1"/>
  <c r="I61" i="7"/>
  <c r="I63" i="7" s="1"/>
  <c r="W98" i="5"/>
  <c r="L14" i="6" s="1"/>
  <c r="V100" i="5"/>
  <c r="V209" i="5" s="1"/>
  <c r="V213" i="5" s="1"/>
  <c r="Q165" i="5"/>
  <c r="P180" i="5"/>
  <c r="P203" i="5" s="1"/>
  <c r="P205" i="5" s="1"/>
  <c r="P217" i="5" s="1"/>
  <c r="P226" i="5" s="1"/>
  <c r="K19" i="6"/>
  <c r="P336" i="5"/>
  <c r="P327" i="5"/>
  <c r="P329" i="5" s="1"/>
  <c r="R249" i="5"/>
  <c r="R164" i="5" s="1"/>
  <c r="R167" i="5" s="1"/>
  <c r="R171" i="5" s="1"/>
  <c r="R202" i="5" s="1"/>
  <c r="S248" i="5"/>
  <c r="O342" i="5"/>
  <c r="O344" i="5" s="1"/>
  <c r="P267" i="5"/>
  <c r="P303" i="5"/>
  <c r="Q251" i="5"/>
  <c r="Q265" i="5"/>
  <c r="Q266" i="5" s="1"/>
  <c r="V214" i="5" l="1"/>
  <c r="I141" i="7"/>
  <c r="I143" i="7" s="1"/>
  <c r="X98" i="5"/>
  <c r="W100" i="5"/>
  <c r="W209" i="5" s="1"/>
  <c r="W213" i="5" s="1"/>
  <c r="L17" i="6" s="1"/>
  <c r="L13" i="6" s="1"/>
  <c r="R165" i="5"/>
  <c r="Q180" i="5"/>
  <c r="Q203" i="5" s="1"/>
  <c r="Q205" i="5" s="1"/>
  <c r="Q217" i="5" s="1"/>
  <c r="Q226" i="5" s="1"/>
  <c r="Q267" i="5"/>
  <c r="Q303" i="5"/>
  <c r="P342" i="5"/>
  <c r="P344" i="5" s="1"/>
  <c r="Q327" i="5"/>
  <c r="Q329" i="5" s="1"/>
  <c r="Q336" i="5"/>
  <c r="S249" i="5"/>
  <c r="S164" i="5" s="1"/>
  <c r="S167" i="5" s="1"/>
  <c r="S171" i="5" s="1"/>
  <c r="S202" i="5" s="1"/>
  <c r="T248" i="5"/>
  <c r="R251" i="5"/>
  <c r="R265" i="5"/>
  <c r="R266" i="5" s="1"/>
  <c r="J51" i="7" l="1"/>
  <c r="J133" i="7" s="1"/>
  <c r="J135" i="7" s="1"/>
  <c r="J139" i="7" s="1"/>
  <c r="L19" i="6"/>
  <c r="W214" i="5"/>
  <c r="J61" i="7"/>
  <c r="J63" i="7" s="1"/>
  <c r="Y98" i="5"/>
  <c r="M14" i="6" s="1"/>
  <c r="X100" i="5"/>
  <c r="X209" i="5" s="1"/>
  <c r="X213" i="5" s="1"/>
  <c r="R180" i="5"/>
  <c r="R203" i="5" s="1"/>
  <c r="R205" i="5" s="1"/>
  <c r="R217" i="5" s="1"/>
  <c r="R226" i="5" s="1"/>
  <c r="S165" i="5"/>
  <c r="S265" i="5"/>
  <c r="S266" i="5" s="1"/>
  <c r="S251" i="5"/>
  <c r="Q342" i="5"/>
  <c r="Q344" i="5" s="1"/>
  <c r="R267" i="5"/>
  <c r="R303" i="5"/>
  <c r="R327" i="5"/>
  <c r="R329" i="5" s="1"/>
  <c r="R336" i="5"/>
  <c r="T249" i="5"/>
  <c r="T164" i="5" s="1"/>
  <c r="T167" i="5" s="1"/>
  <c r="T171" i="5" s="1"/>
  <c r="T202" i="5" s="1"/>
  <c r="U248" i="5"/>
  <c r="X214" i="5" l="1"/>
  <c r="J141" i="7"/>
  <c r="J143" i="7" s="1"/>
  <c r="W175" i="5"/>
  <c r="W176" i="5" s="1"/>
  <c r="W177" i="5" s="1"/>
  <c r="Z98" i="5"/>
  <c r="Y100" i="5"/>
  <c r="Y209" i="5" s="1"/>
  <c r="Y213" i="5" s="1"/>
  <c r="M17" i="6" s="1"/>
  <c r="M13" i="6" s="1"/>
  <c r="T165" i="5"/>
  <c r="S180" i="5"/>
  <c r="S203" i="5" s="1"/>
  <c r="S205" i="5" s="1"/>
  <c r="S217" i="5" s="1"/>
  <c r="S226" i="5" s="1"/>
  <c r="U249" i="5"/>
  <c r="U164" i="5" s="1"/>
  <c r="U167" i="5" s="1"/>
  <c r="U171" i="5" s="1"/>
  <c r="U202" i="5" s="1"/>
  <c r="V248" i="5"/>
  <c r="S327" i="5"/>
  <c r="S329" i="5" s="1"/>
  <c r="S336" i="5"/>
  <c r="T265" i="5"/>
  <c r="T266" i="5" s="1"/>
  <c r="T251" i="5"/>
  <c r="R342" i="5"/>
  <c r="R344" i="5" s="1"/>
  <c r="S267" i="5"/>
  <c r="S303" i="5"/>
  <c r="K51" i="7" l="1"/>
  <c r="M19" i="6"/>
  <c r="Y214" i="5"/>
  <c r="K133" i="7"/>
  <c r="K135" i="7" s="1"/>
  <c r="K139" i="7" s="1"/>
  <c r="K61" i="7"/>
  <c r="K63" i="7" s="1"/>
  <c r="AA98" i="5"/>
  <c r="Z100" i="5"/>
  <c r="Z209" i="5" s="1"/>
  <c r="Z213" i="5" s="1"/>
  <c r="U165" i="5"/>
  <c r="T180" i="5"/>
  <c r="T203" i="5" s="1"/>
  <c r="T205" i="5" s="1"/>
  <c r="T217" i="5" s="1"/>
  <c r="T226" i="5" s="1"/>
  <c r="T327" i="5"/>
  <c r="T329" i="5" s="1"/>
  <c r="T336" i="5"/>
  <c r="V249" i="5"/>
  <c r="V164" i="5" s="1"/>
  <c r="V167" i="5" s="1"/>
  <c r="V171" i="5" s="1"/>
  <c r="V202" i="5" s="1"/>
  <c r="W248" i="5"/>
  <c r="T267" i="5"/>
  <c r="T303" i="5"/>
  <c r="S342" i="5"/>
  <c r="S344" i="5" s="1"/>
  <c r="U265" i="5"/>
  <c r="U266" i="5" s="1"/>
  <c r="U251" i="5"/>
  <c r="Z214" i="5" l="1"/>
  <c r="K141" i="7"/>
  <c r="K143" i="7" s="1"/>
  <c r="Y175" i="5"/>
  <c r="Y176" i="5" s="1"/>
  <c r="Y177" i="5" s="1"/>
  <c r="AA100" i="5"/>
  <c r="N14" i="6"/>
  <c r="AA209" i="5"/>
  <c r="AA213" i="5" s="1"/>
  <c r="N17" i="6" s="1"/>
  <c r="F100" i="5"/>
  <c r="V165" i="5"/>
  <c r="U180" i="5"/>
  <c r="U203" i="5" s="1"/>
  <c r="U205" i="5" s="1"/>
  <c r="U217" i="5" s="1"/>
  <c r="U226" i="5" s="1"/>
  <c r="V265" i="5"/>
  <c r="V266" i="5" s="1"/>
  <c r="V251" i="5"/>
  <c r="W249" i="5"/>
  <c r="W164" i="5" s="1"/>
  <c r="W167" i="5" s="1"/>
  <c r="W171" i="5" s="1"/>
  <c r="W202" i="5" s="1"/>
  <c r="X248" i="5"/>
  <c r="U336" i="5"/>
  <c r="U327" i="5"/>
  <c r="U329" i="5" s="1"/>
  <c r="T342" i="5"/>
  <c r="T344" i="5" s="1"/>
  <c r="U267" i="5"/>
  <c r="U303" i="5"/>
  <c r="AA214" i="5" l="1"/>
  <c r="N13" i="6"/>
  <c r="W165" i="5"/>
  <c r="V180" i="5"/>
  <c r="V203" i="5" s="1"/>
  <c r="V205" i="5" s="1"/>
  <c r="V217" i="5" s="1"/>
  <c r="V226" i="5" s="1"/>
  <c r="U342" i="5"/>
  <c r="U344" i="5" s="1"/>
  <c r="X249" i="5"/>
  <c r="X164" i="5" s="1"/>
  <c r="X167" i="5" s="1"/>
  <c r="X171" i="5" s="1"/>
  <c r="X202" i="5" s="1"/>
  <c r="Y248" i="5"/>
  <c r="V336" i="5"/>
  <c r="V327" i="5"/>
  <c r="V329" i="5" s="1"/>
  <c r="W265" i="5"/>
  <c r="W266" i="5" s="1"/>
  <c r="W251" i="5"/>
  <c r="V267" i="5"/>
  <c r="V303" i="5"/>
  <c r="L51" i="7" l="1"/>
  <c r="N19" i="6"/>
  <c r="W180" i="5"/>
  <c r="W203" i="5" s="1"/>
  <c r="W205" i="5" s="1"/>
  <c r="W217" i="5" s="1"/>
  <c r="W226" i="5" s="1"/>
  <c r="X165" i="5"/>
  <c r="V342" i="5"/>
  <c r="V344" i="5" s="1"/>
  <c r="W267" i="5"/>
  <c r="W303" i="5"/>
  <c r="Y249" i="5"/>
  <c r="Y164" i="5" s="1"/>
  <c r="Y167" i="5" s="1"/>
  <c r="Y171" i="5" s="1"/>
  <c r="Y202" i="5" s="1"/>
  <c r="Z248" i="5"/>
  <c r="X265" i="5"/>
  <c r="X266" i="5" s="1"/>
  <c r="X251" i="5"/>
  <c r="W336" i="5"/>
  <c r="W327" i="5"/>
  <c r="W329" i="5" s="1"/>
  <c r="L133" i="7" l="1"/>
  <c r="L135" i="7" s="1"/>
  <c r="L139" i="7" s="1"/>
  <c r="L61" i="7"/>
  <c r="L63" i="7" s="1"/>
  <c r="Y165" i="5"/>
  <c r="X180" i="5"/>
  <c r="X203" i="5" s="1"/>
  <c r="X205" i="5" s="1"/>
  <c r="X217" i="5" s="1"/>
  <c r="X226" i="5" s="1"/>
  <c r="X336" i="5"/>
  <c r="X327" i="5"/>
  <c r="X329" i="5" s="1"/>
  <c r="Z249" i="5"/>
  <c r="Z164" i="5" s="1"/>
  <c r="Z167" i="5" s="1"/>
  <c r="Z171" i="5" s="1"/>
  <c r="Z202" i="5" s="1"/>
  <c r="AA248" i="5"/>
  <c r="AA249" i="5" s="1"/>
  <c r="AA164" i="5" s="1"/>
  <c r="AA167" i="5" s="1"/>
  <c r="AA171" i="5" s="1"/>
  <c r="AA202" i="5" s="1"/>
  <c r="Y251" i="5"/>
  <c r="Y265" i="5"/>
  <c r="Y266" i="5" s="1"/>
  <c r="X267" i="5"/>
  <c r="X303" i="5"/>
  <c r="W342" i="5"/>
  <c r="W344" i="5" s="1"/>
  <c r="L141" i="7" l="1"/>
  <c r="L143" i="7" s="1"/>
  <c r="AA175" i="5"/>
  <c r="AA176" i="5" s="1"/>
  <c r="AA177" i="5" s="1"/>
  <c r="Z165" i="5"/>
  <c r="Y180" i="5"/>
  <c r="Y203" i="5" s="1"/>
  <c r="Y205" i="5" s="1"/>
  <c r="Y217" i="5" s="1"/>
  <c r="Y226" i="5" s="1"/>
  <c r="AA265" i="5"/>
  <c r="AA251" i="5"/>
  <c r="F249" i="5"/>
  <c r="Y267" i="5"/>
  <c r="Y303" i="5"/>
  <c r="Y327" i="5"/>
  <c r="Y329" i="5" s="1"/>
  <c r="Y336" i="5"/>
  <c r="Z251" i="5"/>
  <c r="Z265" i="5"/>
  <c r="Z266" i="5" s="1"/>
  <c r="X342" i="5"/>
  <c r="X344" i="5" s="1"/>
  <c r="AA165" i="5" l="1"/>
  <c r="AA180" i="5" s="1"/>
  <c r="AA203" i="5" s="1"/>
  <c r="AA205" i="5" s="1"/>
  <c r="AA217" i="5" s="1"/>
  <c r="Z180" i="5"/>
  <c r="Z203" i="5" s="1"/>
  <c r="Z205" i="5" s="1"/>
  <c r="Z217" i="5" s="1"/>
  <c r="Z226" i="5" s="1"/>
  <c r="Z267" i="5"/>
  <c r="Z303" i="5"/>
  <c r="Y342" i="5"/>
  <c r="Y344" i="5" s="1"/>
  <c r="AA327" i="5"/>
  <c r="AA329" i="5" s="1"/>
  <c r="AA336" i="5"/>
  <c r="Z327" i="5"/>
  <c r="Z336" i="5"/>
  <c r="AA266" i="5"/>
  <c r="F265" i="5"/>
  <c r="AA226" i="5" l="1"/>
  <c r="AA342" i="5"/>
  <c r="AA344" i="5" s="1"/>
  <c r="AA267" i="5"/>
  <c r="F270" i="5" s="1"/>
  <c r="AA303" i="5"/>
  <c r="F266" i="5"/>
  <c r="F271" i="5"/>
  <c r="F269" i="5"/>
  <c r="Z342" i="5"/>
  <c r="Z329" i="5"/>
  <c r="Z344" i="5" l="1"/>
  <c r="F156" i="5" l="1"/>
  <c r="D32" i="6" l="1"/>
  <c r="D26" i="6" l="1"/>
  <c r="D25" i="6" s="1"/>
  <c r="D44" i="6" s="1"/>
  <c r="F26" i="6" l="1"/>
  <c r="F25" i="6" s="1"/>
  <c r="G26" i="6"/>
  <c r="G25" i="6" s="1"/>
  <c r="J9" i="6" l="1"/>
  <c r="K9" i="6" s="1"/>
  <c r="L9" i="6" s="1"/>
  <c r="M9" i="6" s="1"/>
  <c r="N9" i="6" s="1"/>
  <c r="J71" i="6"/>
  <c r="L71" i="6" s="1"/>
  <c r="N71" i="6" s="1"/>
  <c r="H178" i="5"/>
  <c r="I178" i="5" s="1"/>
  <c r="J178" i="5" s="1"/>
  <c r="K178" i="5" s="1"/>
  <c r="L178" i="5" s="1"/>
  <c r="M178" i="5" s="1"/>
  <c r="N178" i="5" s="1"/>
  <c r="O178" i="5" s="1"/>
  <c r="P178" i="5" s="1"/>
  <c r="Q178" i="5" s="1"/>
  <c r="R178" i="5" s="1"/>
  <c r="S178" i="5" s="1"/>
  <c r="T178" i="5" s="1"/>
  <c r="U178" i="5" s="1"/>
  <c r="V178" i="5" s="1"/>
  <c r="W178" i="5" s="1"/>
  <c r="X178" i="5" s="1"/>
  <c r="Y178" i="5" s="1"/>
  <c r="Z178" i="5" s="1"/>
  <c r="AA178" i="5" s="1"/>
  <c r="H180" i="5"/>
  <c r="H203" i="5" s="1"/>
  <c r="H205" i="5" s="1"/>
  <c r="F120" i="5" l="1"/>
  <c r="H120" i="5"/>
  <c r="F121" i="5"/>
  <c r="H121" i="5"/>
  <c r="F124" i="5"/>
  <c r="H124" i="5"/>
  <c r="F126" i="5"/>
  <c r="I126" i="5"/>
  <c r="L126" i="5"/>
  <c r="O126" i="5"/>
  <c r="R126" i="5"/>
  <c r="U126" i="5"/>
  <c r="X126" i="5"/>
  <c r="AA126" i="5"/>
  <c r="H195" i="5"/>
  <c r="H198" i="5"/>
  <c r="F217" i="5"/>
  <c r="H217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F220" i="5"/>
  <c r="F221" i="5"/>
  <c r="F226" i="5"/>
  <c r="H226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F229" i="5"/>
  <c r="F230" i="5"/>
  <c r="F231" i="5"/>
  <c r="F251" i="5"/>
  <c r="H251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F254" i="5"/>
  <c r="F255" i="5"/>
  <c r="F256" i="5"/>
  <c r="F278" i="5"/>
  <c r="H278" i="5"/>
  <c r="F279" i="5"/>
  <c r="H279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F282" i="5"/>
  <c r="F283" i="5"/>
  <c r="F284" i="5"/>
  <c r="F303" i="5"/>
  <c r="H303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F306" i="5"/>
  <c r="F307" i="5"/>
  <c r="F308" i="5"/>
  <c r="F309" i="5"/>
  <c r="F327" i="5"/>
  <c r="H327" i="5"/>
  <c r="F329" i="5"/>
  <c r="H329" i="5"/>
  <c r="F331" i="5"/>
  <c r="F332" i="5"/>
  <c r="F336" i="5"/>
  <c r="H336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F338" i="5"/>
  <c r="F342" i="5"/>
  <c r="H342" i="5"/>
  <c r="F344" i="5"/>
  <c r="H344" i="5"/>
  <c r="F346" i="5"/>
  <c r="F347" i="5"/>
  <c r="D7" i="6"/>
  <c r="E7" i="6"/>
  <c r="F7" i="6"/>
  <c r="G7" i="6"/>
  <c r="H7" i="6"/>
  <c r="I7" i="6"/>
  <c r="J7" i="6"/>
  <c r="K7" i="6"/>
  <c r="L7" i="6"/>
  <c r="M7" i="6"/>
  <c r="N7" i="6"/>
  <c r="D8" i="6"/>
  <c r="E8" i="6"/>
  <c r="F8" i="6"/>
  <c r="G8" i="6"/>
  <c r="H8" i="6"/>
  <c r="I8" i="6"/>
  <c r="J8" i="6"/>
  <c r="K8" i="6"/>
  <c r="L8" i="6"/>
  <c r="M8" i="6"/>
  <c r="N8" i="6"/>
  <c r="D9" i="6"/>
  <c r="E9" i="6"/>
  <c r="F9" i="6"/>
  <c r="G9" i="6"/>
  <c r="H9" i="6"/>
  <c r="D10" i="6"/>
  <c r="E10" i="6"/>
  <c r="F10" i="6"/>
  <c r="G10" i="6"/>
  <c r="H10" i="6"/>
  <c r="I10" i="6"/>
  <c r="J10" i="6"/>
  <c r="K10" i="6"/>
  <c r="L10" i="6"/>
  <c r="M10" i="6"/>
  <c r="N10" i="6"/>
  <c r="D21" i="6"/>
  <c r="E21" i="6"/>
  <c r="F21" i="6"/>
  <c r="G21" i="6"/>
  <c r="H21" i="6"/>
  <c r="I21" i="6"/>
  <c r="J21" i="6"/>
  <c r="K21" i="6"/>
  <c r="L21" i="6"/>
  <c r="M21" i="6"/>
  <c r="N21" i="6"/>
  <c r="E29" i="6"/>
  <c r="F29" i="6"/>
  <c r="G29" i="6"/>
  <c r="H29" i="6"/>
  <c r="I29" i="6"/>
  <c r="J29" i="6"/>
  <c r="K29" i="6"/>
  <c r="L29" i="6"/>
  <c r="M29" i="6"/>
  <c r="N29" i="6"/>
  <c r="E44" i="6"/>
  <c r="F44" i="6"/>
  <c r="G44" i="6"/>
  <c r="H44" i="6"/>
  <c r="I44" i="6"/>
  <c r="J44" i="6"/>
  <c r="K44" i="6"/>
  <c r="L44" i="6"/>
  <c r="M44" i="6"/>
  <c r="N44" i="6"/>
  <c r="D46" i="6"/>
  <c r="E46" i="6"/>
  <c r="F46" i="6"/>
  <c r="G46" i="6"/>
  <c r="H46" i="6"/>
  <c r="I46" i="6"/>
  <c r="J46" i="6"/>
  <c r="K46" i="6"/>
  <c r="L46" i="6"/>
  <c r="M46" i="6"/>
  <c r="N46" i="6"/>
  <c r="D70" i="6"/>
  <c r="E70" i="6"/>
  <c r="E71" i="6"/>
  <c r="F71" i="6"/>
  <c r="D74" i="6"/>
  <c r="E74" i="6"/>
  <c r="F74" i="6"/>
  <c r="G74" i="6"/>
  <c r="H74" i="6"/>
  <c r="I74" i="6"/>
  <c r="J74" i="6"/>
  <c r="K74" i="6"/>
  <c r="L74" i="6"/>
  <c r="M74" i="6"/>
  <c r="N74" i="6"/>
</calcChain>
</file>

<file path=xl/sharedStrings.xml><?xml version="1.0" encoding="utf-8"?>
<sst xmlns="http://schemas.openxmlformats.org/spreadsheetml/2006/main" count="588" uniqueCount="367">
  <si>
    <t>m2</t>
  </si>
  <si>
    <t>Total</t>
  </si>
  <si>
    <t>USD</t>
  </si>
  <si>
    <t>ID</t>
  </si>
  <si>
    <t>Saldo</t>
  </si>
  <si>
    <t>Débito</t>
  </si>
  <si>
    <t>Acumulado</t>
  </si>
  <si>
    <t>Pagos</t>
  </si>
  <si>
    <t>IVA</t>
  </si>
  <si>
    <t>USD/m2</t>
  </si>
  <si>
    <t>Subtotal</t>
  </si>
  <si>
    <t>Varios</t>
  </si>
  <si>
    <t>Crédito</t>
  </si>
  <si>
    <t>QUALITY INVEST - San Martín</t>
  </si>
  <si>
    <t>USD/Mes</t>
  </si>
  <si>
    <t>Margen / Inversión</t>
  </si>
  <si>
    <t>ETAPA 1</t>
  </si>
  <si>
    <t>Superficie Construida</t>
  </si>
  <si>
    <t>Superficie Rentable</t>
  </si>
  <si>
    <t>Ratio Cocheras (Ud/m2 Rble)</t>
  </si>
  <si>
    <t>Uds</t>
  </si>
  <si>
    <t>Cocheras Descubiertas (Aprox.)</t>
  </si>
  <si>
    <t>Vacancy Rate</t>
  </si>
  <si>
    <t>USD/m2 Rble</t>
  </si>
  <si>
    <t>Alquiler S/IVA (*)</t>
  </si>
  <si>
    <t>(*****) Proyecto y DDO / Asesores / Comercialización / Tasas e Impuestos / Contingencias</t>
  </si>
  <si>
    <t>Gastos No Expensables (**)</t>
  </si>
  <si>
    <t>Renta Anual en Régimen</t>
  </si>
  <si>
    <t>USD/Año</t>
  </si>
  <si>
    <t>Otros Ingresos (***)</t>
  </si>
  <si>
    <t>Inversiones Iniciales (****)</t>
  </si>
  <si>
    <t>(****) Puesta en valor (sin Fitting Up Locatario)</t>
  </si>
  <si>
    <t>(**) Gtos Administración, Previsiones para Mant. Extraordinarios, Contingencias, etc.</t>
  </si>
  <si>
    <t>Otros Costos (*****)</t>
  </si>
  <si>
    <t>ESPACIOS PUBLICOS</t>
  </si>
  <si>
    <t>Soft Costs (**)</t>
  </si>
  <si>
    <t>USD + IVA</t>
  </si>
  <si>
    <t>(**) Proyecto y DDO / Asesores / Tasas e Impuestos / Contingencias</t>
  </si>
  <si>
    <t>Superficie Construida (*)</t>
  </si>
  <si>
    <t>Total Egresos</t>
  </si>
  <si>
    <t xml:space="preserve">Repago </t>
  </si>
  <si>
    <t>Años</t>
  </si>
  <si>
    <t>(***) Carteles, Publicidad, Stands, Etc.</t>
  </si>
  <si>
    <t>Hard Costs (****)</t>
  </si>
  <si>
    <t>Soft Costs (*****)</t>
  </si>
  <si>
    <t>Espacios Públicos</t>
  </si>
  <si>
    <t>Luego deberán resolverlo en los Parkings existentes</t>
  </si>
  <si>
    <t>Demoliciones</t>
  </si>
  <si>
    <t>Valores S/IVA</t>
  </si>
  <si>
    <t>Residencial 1 (*)</t>
  </si>
  <si>
    <t>(*) Por mercado y consolidación (No incluye inflación ni variaciones del tipo de cambio)</t>
  </si>
  <si>
    <t>Inversión Inicial Q.I. (S/IVA)</t>
  </si>
  <si>
    <t>Otros</t>
  </si>
  <si>
    <t>Cocheras Disponibles</t>
  </si>
  <si>
    <t>Superficie Intervenida</t>
  </si>
  <si>
    <t>Tarifa Mensualidad (*)</t>
  </si>
  <si>
    <t>(*) IVA Incl. / Idem Auto / Pick Up</t>
  </si>
  <si>
    <t>$/Mes IVA Incl.</t>
  </si>
  <si>
    <t>$/Mes S/IVA</t>
  </si>
  <si>
    <t>Ingreso Bruto Anual (S/IVA)</t>
  </si>
  <si>
    <t>Gastos Operativos (**)</t>
  </si>
  <si>
    <t>Limpieza y Seguridad</t>
  </si>
  <si>
    <t>(**) Impuestos, personal, seguros, servicios, limpieza, mantenimiento, administración</t>
  </si>
  <si>
    <t>Total Operativo Anual S/IVA</t>
  </si>
  <si>
    <t>Infraestr. Gral / Contr. MGSM</t>
  </si>
  <si>
    <t>Marketing / Publicidad Mplan</t>
  </si>
  <si>
    <t>Subtotal 7</t>
  </si>
  <si>
    <t>Máx. Exp. Acumulada</t>
  </si>
  <si>
    <t>Entretenimiento</t>
  </si>
  <si>
    <t xml:space="preserve">Gym + </t>
  </si>
  <si>
    <t>Gastronomía</t>
  </si>
  <si>
    <t>Alquiler S/IVA (USD/m2)</t>
  </si>
  <si>
    <t>Renta Anual en Régimen (USD)</t>
  </si>
  <si>
    <t>Llave Anual (USD)</t>
  </si>
  <si>
    <t>Cines</t>
  </si>
  <si>
    <t>Retail / Gastr.</t>
  </si>
  <si>
    <t>Superficie PB</t>
  </si>
  <si>
    <t>Cantidad Cocheras</t>
  </si>
  <si>
    <t>Autos</t>
  </si>
  <si>
    <t>Ratio m2/Cochera</t>
  </si>
  <si>
    <t>Superficie EP</t>
  </si>
  <si>
    <t>m2/Ud</t>
  </si>
  <si>
    <t>Cto/m2</t>
  </si>
  <si>
    <t>ED. SAN MARTIN - OFICINAS / RETAIL</t>
  </si>
  <si>
    <t>Ratio Cocheras / ABL Cines + Retail</t>
  </si>
  <si>
    <t>m2 ABL/Coch.</t>
  </si>
  <si>
    <t>Cocheras Asignadas</t>
  </si>
  <si>
    <t>Cocheras Remanentes</t>
  </si>
  <si>
    <t>Tarifa $ / Hora (IVA Incl.)</t>
  </si>
  <si>
    <t>Auto</t>
  </si>
  <si>
    <t>Pick Up</t>
  </si>
  <si>
    <t>Tarifa Prom. (IVA Incl.)</t>
  </si>
  <si>
    <t>USD/Hora</t>
  </si>
  <si>
    <t>Ingresos Adicionales (*)</t>
  </si>
  <si>
    <t>Negocio del Concesionario (Valores S/IVA)</t>
  </si>
  <si>
    <t>Ingreso Bruto Anual (**)</t>
  </si>
  <si>
    <t>Gastos Operativos (***)</t>
  </si>
  <si>
    <t>(*) Sin Cocheras Variables x Hora Pico / Servicios - Stands - Publicidad - Etc.</t>
  </si>
  <si>
    <t>(**) La tarifa promedio es un mix de Hora / Fracción / Estadía / Categoría / Estacionalidad</t>
  </si>
  <si>
    <t>Para hacer el cálculo, se toma una ocupación estándar de la industria, que supone que cada</t>
  </si>
  <si>
    <t>(***) Impuestos, personal, seguros, servicios, limpieza, mantenimiento, administración</t>
  </si>
  <si>
    <t>Tipo de Cambio ($/USD)</t>
  </si>
  <si>
    <t>Oct'18</t>
  </si>
  <si>
    <t>IVA Ventas</t>
  </si>
  <si>
    <t>cochera se encuentra ocupada entre 4 y 8 horas diarias</t>
  </si>
  <si>
    <t>Uds Asignadas</t>
  </si>
  <si>
    <t>(*) Incluye las Cocheras Descubiertas Asignadas por 10 años</t>
  </si>
  <si>
    <t>Valor Negocio (Cap Rate)</t>
  </si>
  <si>
    <t>Cocheras Descubiertas (Av. SM y RP)</t>
  </si>
  <si>
    <t>Ed. San Martín (Asignadas)</t>
  </si>
  <si>
    <t>10 Años - Luego se deberán resolver en Ed. Cocheras</t>
  </si>
  <si>
    <t>PARKING 1</t>
  </si>
  <si>
    <t>PARKING 2</t>
  </si>
  <si>
    <t>(*) Refuncionalización galpones existentes + Obra Nueva</t>
  </si>
  <si>
    <t>Parking 1</t>
  </si>
  <si>
    <t>(******)</t>
  </si>
  <si>
    <t>(******) Exclusividad Cine y Candy Bar / Estacionamiento gratuito Clientes Cine</t>
  </si>
  <si>
    <t>Hard Costs</t>
  </si>
  <si>
    <t>Soft Costs</t>
  </si>
  <si>
    <t>Déficit Ed. Viviendas - Etapa 1</t>
  </si>
  <si>
    <t>Disponibles para déficit Viv. Etapa 1</t>
  </si>
  <si>
    <t>Se deberá ampliar para Etapas siguientes Ed. Viviendas</t>
  </si>
  <si>
    <t>Ocupación</t>
  </si>
  <si>
    <t>Total Egresos (USD)</t>
  </si>
  <si>
    <t>Calle Acceso Cines (*)</t>
  </si>
  <si>
    <t>Calle Parravicini (*)</t>
  </si>
  <si>
    <t>(*) Pavimento / Solados / Iluminación / Servicios / Equipamiento Urbano / Paisajismo / etc.</t>
  </si>
  <si>
    <t>Calle + Plaza Paseo Central (*)</t>
  </si>
  <si>
    <t>Sector</t>
  </si>
  <si>
    <t>Retiro S/Av. San Martín (*)</t>
  </si>
  <si>
    <t>Terminal Value</t>
  </si>
  <si>
    <t>Parking 2</t>
  </si>
  <si>
    <t>OTROS</t>
  </si>
  <si>
    <t>TIR Anual</t>
  </si>
  <si>
    <t>Máx. Exp. Acumulada (S/Terrenos)</t>
  </si>
  <si>
    <t>Margen S/Terrenos</t>
  </si>
  <si>
    <t>Constr. a cargo del Operador / 8 Años de Gracia en Alquiler</t>
  </si>
  <si>
    <t>(*) Neto de IVA / Sin Terreno / En USD</t>
  </si>
  <si>
    <t>Fte SM</t>
  </si>
  <si>
    <t>QI hace la etapa 1 del Parking 1 y a los 2 años lo completa para liberar Galpón Factory Hall</t>
  </si>
  <si>
    <t>8 Años de gracia en los Alquileres</t>
  </si>
  <si>
    <t>Para Ratio 1:1 Viv. 1</t>
  </si>
  <si>
    <t>Parte de los gastos operativos lo cubren las expensas del Ed. San Martín</t>
  </si>
  <si>
    <t>(En los correspondientes presupuestos)</t>
  </si>
  <si>
    <t>Retail + Gastronomía + Gym + Entretenimiento + Otros</t>
  </si>
  <si>
    <t>Capacidad Consumida</t>
  </si>
  <si>
    <t>Cash Flow Etapa 1</t>
  </si>
  <si>
    <t>Capacidad Remanente</t>
  </si>
  <si>
    <t>USD/M2</t>
  </si>
  <si>
    <t>TOTAL SIN TERRENOS (USD)</t>
  </si>
  <si>
    <t>Total Etapa 1</t>
  </si>
  <si>
    <t>Margen</t>
  </si>
  <si>
    <t>La obra principal la hace el Operador</t>
  </si>
  <si>
    <t>Plazo contrato = 10 Años (Idem Entretenimiento)</t>
  </si>
  <si>
    <t>ED.</t>
  </si>
  <si>
    <t>S.MARTIN</t>
  </si>
  <si>
    <t>10% - 15%</t>
  </si>
  <si>
    <t>S/MCCA 18/10/18 - MM 18/09/18 - EG 17/10/18</t>
  </si>
  <si>
    <t>USO DEL FOT</t>
  </si>
  <si>
    <t>S/Reparticiones MCCA</t>
  </si>
  <si>
    <t>Consumido</t>
  </si>
  <si>
    <t>Remanente</t>
  </si>
  <si>
    <t>Residenciales</t>
  </si>
  <si>
    <t>CON TIERRA (*)</t>
  </si>
  <si>
    <t>Negocio Solo Etapa 1</t>
  </si>
  <si>
    <t>PB</t>
  </si>
  <si>
    <t>EP</t>
  </si>
  <si>
    <t>SIN RESIDENCIAL S/Terrenos</t>
  </si>
  <si>
    <t>S/Residencial C/Terrenos</t>
  </si>
  <si>
    <t>S/Residencial</t>
  </si>
  <si>
    <t>TIR ANUAL</t>
  </si>
  <si>
    <t>Max. Exp. Acumulada (S/Terreno)</t>
  </si>
  <si>
    <t>El Negocio de Tierra no considera el FOT Remanente ubicado sobre el Area de Retail / Cines / Estacionamientos de la Etapa 1</t>
  </si>
  <si>
    <t>Publicidad / Administración / Operación</t>
  </si>
  <si>
    <t>Infraestructuras</t>
  </si>
  <si>
    <t>Subtotal A</t>
  </si>
  <si>
    <t>Subtotal B</t>
  </si>
  <si>
    <t>Tierra Remanente</t>
  </si>
  <si>
    <t>Absorción</t>
  </si>
  <si>
    <t>USD/m2 FOT</t>
  </si>
  <si>
    <t>C - NEGOCIO TIERRA (Resid. Mayorista)</t>
  </si>
  <si>
    <t>Subtotal C</t>
  </si>
  <si>
    <t>CONSOLIDADO ETAPA 1</t>
  </si>
  <si>
    <t>Valor Tierra (Total)</t>
  </si>
  <si>
    <t>FOT Utlizado</t>
  </si>
  <si>
    <t>Valor Tierra Utilizada</t>
  </si>
  <si>
    <t>No Considera Plusvalor sobre el FOT Total Remanente del resto del emprendimiento</t>
  </si>
  <si>
    <t>No Considera que parte de lo erogado en Infraestructura / Publicidad que sirve para las Etapas futuras</t>
  </si>
  <si>
    <t>Max. Exp. Acumulada (C/Terreno)</t>
  </si>
  <si>
    <t>FOT TOTAL (Ghel)</t>
  </si>
  <si>
    <t>Inversiones y Rentas Netas</t>
  </si>
  <si>
    <t>Terreno (non cash)</t>
  </si>
  <si>
    <t>Ingresos y Egresos netos</t>
  </si>
  <si>
    <t>B - NEGOCIO RESIDENCIAL (Resid. Minorista)</t>
  </si>
  <si>
    <t>A - NEGOCIO COMERCIAL (Retail)</t>
  </si>
  <si>
    <t>Capacidad Consumida / Comprometida (non cash)</t>
  </si>
  <si>
    <t>Activo</t>
  </si>
  <si>
    <t>Depreciacion acumulada</t>
  </si>
  <si>
    <t>Efectivo y equivalentes</t>
  </si>
  <si>
    <t>Cuentas por cobrar, netas</t>
  </si>
  <si>
    <t>Otros activos corrientes</t>
  </si>
  <si>
    <t>Rentas</t>
  </si>
  <si>
    <t>Expensas</t>
  </si>
  <si>
    <t>Gastos Operativos</t>
  </si>
  <si>
    <t>Impuestos Operativos</t>
  </si>
  <si>
    <t>Gerenciamiento</t>
  </si>
  <si>
    <t>Ingresos totales</t>
  </si>
  <si>
    <t>Reserva Vacancia</t>
  </si>
  <si>
    <t>Ingreso Operativo Neto (S/IVA) (*)</t>
  </si>
  <si>
    <t>Ingresos Totales</t>
  </si>
  <si>
    <t>Administración</t>
  </si>
  <si>
    <t>Pasivos</t>
  </si>
  <si>
    <t>Cuentas por pagar</t>
  </si>
  <si>
    <t>Otros pasivos de corto plazo</t>
  </si>
  <si>
    <t>Patrimonio neto</t>
  </si>
  <si>
    <t>Capital Inicial</t>
  </si>
  <si>
    <t>Aportes de capital acumulados</t>
  </si>
  <si>
    <t>Infraestructura</t>
  </si>
  <si>
    <t>Ganancias</t>
  </si>
  <si>
    <t>Comercial</t>
  </si>
  <si>
    <t>Oficinas</t>
  </si>
  <si>
    <t>Retail</t>
  </si>
  <si>
    <t>Resultado Operativo Oficinas</t>
  </si>
  <si>
    <t>Gastos segmento oficinas</t>
  </si>
  <si>
    <t>Ingresos segmento oficinas</t>
  </si>
  <si>
    <t>Real Estate Comercial</t>
  </si>
  <si>
    <t>Resultado Op. Consolidado R.E. Comercial</t>
  </si>
  <si>
    <t xml:space="preserve">Depreciación y Amortización </t>
  </si>
  <si>
    <t>Intereses</t>
  </si>
  <si>
    <t>EBT</t>
  </si>
  <si>
    <t>EBIT</t>
  </si>
  <si>
    <t>Impuestos</t>
  </si>
  <si>
    <t>Net Income R.E. Comercial</t>
  </si>
  <si>
    <t>Año 1</t>
  </si>
  <si>
    <t>Año 2</t>
  </si>
  <si>
    <t>Año 3</t>
  </si>
  <si>
    <t>Año 4</t>
  </si>
  <si>
    <t>Año 5</t>
  </si>
  <si>
    <t>Año 6</t>
  </si>
  <si>
    <t>Año 7</t>
  </si>
  <si>
    <t>Año 8</t>
  </si>
  <si>
    <t>Año 9</t>
  </si>
  <si>
    <t>Año 10</t>
  </si>
  <si>
    <t>Ingresos segmento retail</t>
  </si>
  <si>
    <t>Gastos segmento retail</t>
  </si>
  <si>
    <t>SMART.IN I EERR Proyectado</t>
  </si>
  <si>
    <t>Retail &amp; Lifestyle</t>
  </si>
  <si>
    <t>Resultado Operativo R&amp;L</t>
  </si>
  <si>
    <t>Lifestyle</t>
  </si>
  <si>
    <t>Real Estate Residencial Minorista</t>
  </si>
  <si>
    <t>Ventas</t>
  </si>
  <si>
    <t>Departamentos + Locales</t>
  </si>
  <si>
    <t>Cocheras</t>
  </si>
  <si>
    <t>Ingresos segmento residencial minorista</t>
  </si>
  <si>
    <t>Costo de la mercaderia vendida</t>
  </si>
  <si>
    <t>Admministración y Ventas</t>
  </si>
  <si>
    <t>Gastos segmento residencial minorista</t>
  </si>
  <si>
    <t>Resultado Op. R.E. Residencial</t>
  </si>
  <si>
    <t>Net Income R.E. Residencial</t>
  </si>
  <si>
    <t>Real Estate Residencial Mayorista</t>
  </si>
  <si>
    <t>Ingresos segmento residencial mayorista</t>
  </si>
  <si>
    <t>VAN</t>
  </si>
  <si>
    <t>Tierra</t>
  </si>
  <si>
    <t>Gastos Generales de Administración y Ventas</t>
  </si>
  <si>
    <t>Marketing y Ventas</t>
  </si>
  <si>
    <t>Seguridad Limpieza y Mantenimiento del Predio</t>
  </si>
  <si>
    <t>Gastos Varios</t>
  </si>
  <si>
    <t>Segmento Corporativo</t>
  </si>
  <si>
    <t>EBITDA Consolidado</t>
  </si>
  <si>
    <t>Depreciones y Amort. Consolidadas</t>
  </si>
  <si>
    <t>EBIT Consolidado</t>
  </si>
  <si>
    <t>Ganancia Consolidada antes de Impuestos</t>
  </si>
  <si>
    <t>Impuesto a las ganancias</t>
  </si>
  <si>
    <t>Net Income Consolidado</t>
  </si>
  <si>
    <t>SMART.IN I Balance Proyectado</t>
  </si>
  <si>
    <t>Total del Activo</t>
  </si>
  <si>
    <t>Inicial</t>
  </si>
  <si>
    <t>Activo Fijo I Inversiones Inmobiliarias</t>
  </si>
  <si>
    <t>Activo Corriente</t>
  </si>
  <si>
    <t>Residencial Minorista</t>
  </si>
  <si>
    <t>Residencial Mayorista</t>
  </si>
  <si>
    <t>Mejoras, proyectos edificios y equipamiento</t>
  </si>
  <si>
    <t>Activo Fijo Neto</t>
  </si>
  <si>
    <t>R.E Comercial</t>
  </si>
  <si>
    <t>Cobranzas Comercial</t>
  </si>
  <si>
    <t>Cobranzas Residencial Minorista</t>
  </si>
  <si>
    <t>Cobranzas Residencial Mayorista</t>
  </si>
  <si>
    <t>Erogaciones Residencial Mayorista</t>
  </si>
  <si>
    <t>Puesta en Valor</t>
  </si>
  <si>
    <t>P&amp;L Semestral</t>
  </si>
  <si>
    <t>Régimen</t>
  </si>
  <si>
    <t>Fitting</t>
  </si>
  <si>
    <t>Cash Flow Operativo Neto (S/IVA) (*)</t>
  </si>
  <si>
    <t>Fitting + Obra Entrepiso</t>
  </si>
  <si>
    <t>Gastos operativos</t>
  </si>
  <si>
    <t>Parking 2 Provisorio</t>
  </si>
  <si>
    <t>Fitting (A cargo del operador)</t>
  </si>
  <si>
    <t>Máx Exp.</t>
  </si>
  <si>
    <t>Ingresos Totales netos de IVA</t>
  </si>
  <si>
    <t>Cashflow Operativo Acumulado RE Comercial</t>
  </si>
  <si>
    <t>CapEx RE Comercial</t>
  </si>
  <si>
    <t>SEMESTRE (USD '000)</t>
  </si>
  <si>
    <t>Totales (USD)</t>
  </si>
  <si>
    <t>Desarrollo Residencial Minorista</t>
  </si>
  <si>
    <t>Ver detalle en Solapa B Case Residencial</t>
  </si>
  <si>
    <t>A.</t>
  </si>
  <si>
    <t>B.</t>
  </si>
  <si>
    <t>C.</t>
  </si>
  <si>
    <t>Cash Flow Operativo Consolidado RE Residencial Minorista</t>
  </si>
  <si>
    <t>SMART.IN I Flujo de Fondos</t>
  </si>
  <si>
    <t>CapEx RE Residencial Minorista</t>
  </si>
  <si>
    <t>Infraestructura Urbana</t>
  </si>
  <si>
    <t>Permisos MGSM</t>
  </si>
  <si>
    <t>Master Developer</t>
  </si>
  <si>
    <t>Gastos Operativos (Mant., Limp. y Seguridad)</t>
  </si>
  <si>
    <t>Marketing y Publicidad General</t>
  </si>
  <si>
    <t>Promedio</t>
  </si>
  <si>
    <t>Administración General</t>
  </si>
  <si>
    <t>Impuestos y Cash Flow Consolidado</t>
  </si>
  <si>
    <t>IVA Débito</t>
  </si>
  <si>
    <t>IVA Crédito</t>
  </si>
  <si>
    <t>IVA a Pagar (exc. Residencial minorista)</t>
  </si>
  <si>
    <t>IVA a pagar Residencial minorista</t>
  </si>
  <si>
    <t>Cash Flow  IVA</t>
  </si>
  <si>
    <t>Impuesto a las Ganancias</t>
  </si>
  <si>
    <t>Base Imponible</t>
  </si>
  <si>
    <t>Ver EERR</t>
  </si>
  <si>
    <t>CapEx RE Residencial Mayorista</t>
  </si>
  <si>
    <t>Flujo de Fondos Consolidado</t>
  </si>
  <si>
    <t>Inversiones</t>
  </si>
  <si>
    <t>Operaciones</t>
  </si>
  <si>
    <t>Crecimiento</t>
  </si>
  <si>
    <t>Cash Flow  Consolidado RE Comercial</t>
  </si>
  <si>
    <t>Cash Flow  (S/IVA) (*)</t>
  </si>
  <si>
    <t>Cash Flow (S/IVA) (*)</t>
  </si>
  <si>
    <t>Cash Flow  (S/IVA)</t>
  </si>
  <si>
    <t>Total CF Inversiones</t>
  </si>
  <si>
    <t>Total CF Operaciones</t>
  </si>
  <si>
    <t>Cash Flow  Neto (S/IVA) (*)</t>
  </si>
  <si>
    <t>Cash Flow Operativo Neto (*)</t>
  </si>
  <si>
    <t xml:space="preserve">IG a Pagar </t>
  </si>
  <si>
    <t>Cap.Ex.</t>
  </si>
  <si>
    <t>D.</t>
  </si>
  <si>
    <t>Total CF Cap. Ex.</t>
  </si>
  <si>
    <t>Total CF Impuestos</t>
  </si>
  <si>
    <t>Inversión non-cash</t>
  </si>
  <si>
    <t>TIR anual</t>
  </si>
  <si>
    <t>Cash Flow Consolidado (exc. Tierra)</t>
  </si>
  <si>
    <t>Terreno y mejoras  aplicadas al Proyecto, al costo</t>
  </si>
  <si>
    <t>Resultado antes de Impuestos</t>
  </si>
  <si>
    <t>Inversión Total RE Comercial</t>
  </si>
  <si>
    <t>Inversión acumulada</t>
  </si>
  <si>
    <t>Crédito Fiscal</t>
  </si>
  <si>
    <t>Inversión Total RE Residencial Mayorista</t>
  </si>
  <si>
    <t>Cap. Ex. General</t>
  </si>
  <si>
    <t>Inventario Intermedio / Propiedades en venta, al costo</t>
  </si>
  <si>
    <t>Erogaciones Residencial Minorista</t>
  </si>
  <si>
    <t>Pasivo Y Patrimonio Neto</t>
  </si>
  <si>
    <t>Obligaciones Comerciales</t>
  </si>
  <si>
    <t>Obligaciones Comerciales Corrientes</t>
  </si>
  <si>
    <t>Cuentas a Pagar</t>
  </si>
  <si>
    <t>Ganancias (pérdidas) no distribuídas acumuladas</t>
  </si>
  <si>
    <t>Patrimonio Neto de los Accionistas</t>
  </si>
  <si>
    <t>Total del Pasivo</t>
  </si>
  <si>
    <t>Terminaciones Especiales</t>
  </si>
  <si>
    <t>Cash Flow Consolidado (Tierra y TV incluída)</t>
  </si>
  <si>
    <t>TV 8%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</si>
</sst>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4" formatCode="_(&quot;$&quot;\ * #,##0.00_);_(&quot;$&quot;\ * \(#,##0.00\);_(&quot;$&quot;\ * &quot;-&quot;??_);_(@_)"/>
    <numFmt numFmtId="164" formatCode="_ * #,##0.00_ ;_ * \-#,##0.00_ ;_ * &quot;-&quot;??_ ;_ @_ "/>
    <numFmt numFmtId="165" formatCode="_ * #,##0_ ;_ * \-#,##0_ ;_ * &quot;-&quot;??_ ;_ @_ "/>
    <numFmt numFmtId="166" formatCode="_ [$€-2]\ * #,##0.00_ ;_ [$€-2]\ * \-#,##0.00_ ;_ [$€-2]\ * &quot;-&quot;??_ "/>
    <numFmt numFmtId="167" formatCode="0.0%"/>
    <numFmt numFmtId="168" formatCode="_ * #,##0.0_ ;_ * \-#,##0.0_ ;_ * &quot;-&quot;??_ ;_ @_ "/>
    <numFmt numFmtId="169" formatCode="_-* #,##0_-;\-* #,##0_-;_-* &quot;-&quot;??_-;_-@_-"/>
    <numFmt numFmtId="170" formatCode="_-* #,##0.0_-;\-* #,##0.0_-;_-* &quot;-&quot;??_-;_-@_-"/>
    <numFmt numFmtId="171" formatCode="#,##0,"/>
    <numFmt numFmtId="172" formatCode="#,##0,;\(#,##0,\)"/>
    <numFmt numFmtId="173" formatCode="#,##0_,\);\(#,##0,\);_ * &quot;-&quot;??_ "/>
    <numFmt numFmtId="174" formatCode="#,##0_,;\(#,##0,\);_ * &quot;-&quot;??_ "/>
    <numFmt numFmtId="175" formatCode="#,##0,;\(#,##0,\);_ * &quot;-&quot;??_ "/>
    <numFmt numFmtId="176" formatCode="&quot;$&quot;\ #,##0.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4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0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i/>
      <sz val="10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i/>
      <sz val="11"/>
      <color rgb="FF0000FF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i/>
      <sz val="1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</font>
    <font>
      <i/>
      <sz val="10"/>
      <color theme="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499984740745262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0"/>
      <color theme="1" tint="0.499984740745262"/>
      <name val="Arial"/>
      <family val="2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10"/>
      <color rgb="FF808080"/>
      <name val="Arial"/>
      <family val="2"/>
    </font>
    <font>
      <sz val="11"/>
      <color theme="9" tint="-0.249977111117893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i/>
      <sz val="11"/>
      <color theme="9" tint="0.79998168889431442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262626"/>
        <bgColor rgb="FF000000"/>
      </patternFill>
    </fill>
    <fill>
      <patternFill patternType="solid">
        <fgColor rgb="FFFDE9D9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12">
    <xf numFmtId="0" fontId="0" fillId="0" borderId="0"/>
    <xf numFmtId="16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" fillId="0" borderId="0" applyFont="0" applyFill="0" applyBorder="0" applyAlignment="0" applyProtection="0"/>
  </cellStyleXfs>
  <cellXfs count="546">
    <xf numFmtId="0" fontId="0" fillId="0" borderId="0" xfId="0"/>
    <xf numFmtId="165" fontId="3" fillId="2" borderId="1" xfId="2" applyNumberFormat="1" applyFont="1" applyFill="1" applyBorder="1"/>
    <xf numFmtId="165" fontId="3" fillId="2" borderId="0" xfId="2" applyNumberFormat="1" applyFont="1" applyFill="1" applyBorder="1"/>
    <xf numFmtId="165" fontId="3" fillId="2" borderId="2" xfId="2" applyNumberFormat="1" applyFont="1" applyFill="1" applyBorder="1"/>
    <xf numFmtId="165" fontId="3" fillId="5" borderId="0" xfId="2" applyNumberFormat="1" applyFont="1" applyFill="1" applyBorder="1"/>
    <xf numFmtId="165" fontId="10" fillId="2" borderId="0" xfId="2" applyNumberFormat="1" applyFont="1" applyFill="1"/>
    <xf numFmtId="165" fontId="11" fillId="2" borderId="0" xfId="2" applyNumberFormat="1" applyFont="1" applyFill="1" applyBorder="1"/>
    <xf numFmtId="165" fontId="3" fillId="2" borderId="0" xfId="2" applyNumberFormat="1" applyFont="1" applyFill="1"/>
    <xf numFmtId="165" fontId="11" fillId="2" borderId="0" xfId="2" applyNumberFormat="1" applyFont="1" applyFill="1"/>
    <xf numFmtId="165" fontId="9" fillId="2" borderId="1" xfId="2" applyNumberFormat="1" applyFont="1" applyFill="1" applyBorder="1"/>
    <xf numFmtId="165" fontId="4" fillId="2" borderId="3" xfId="2" applyNumberFormat="1" applyFont="1" applyFill="1" applyBorder="1"/>
    <xf numFmtId="165" fontId="22" fillId="2" borderId="0" xfId="2" applyNumberFormat="1" applyFont="1" applyFill="1"/>
    <xf numFmtId="165" fontId="4" fillId="5" borderId="0" xfId="2" applyNumberFormat="1" applyFont="1" applyFill="1"/>
    <xf numFmtId="165" fontId="3" fillId="5" borderId="0" xfId="2" applyNumberFormat="1" applyFont="1" applyFill="1"/>
    <xf numFmtId="165" fontId="11" fillId="5" borderId="0" xfId="2" applyNumberFormat="1" applyFont="1" applyFill="1"/>
    <xf numFmtId="165" fontId="3" fillId="5" borderId="1" xfId="2" applyNumberFormat="1" applyFont="1" applyFill="1" applyBorder="1"/>
    <xf numFmtId="165" fontId="18" fillId="5" borderId="1" xfId="2" applyNumberFormat="1" applyFont="1" applyFill="1" applyBorder="1"/>
    <xf numFmtId="165" fontId="3" fillId="5" borderId="2" xfId="2" applyNumberFormat="1" applyFont="1" applyFill="1" applyBorder="1"/>
    <xf numFmtId="9" fontId="18" fillId="5" borderId="2" xfId="4" applyFont="1" applyFill="1" applyBorder="1"/>
    <xf numFmtId="9" fontId="18" fillId="5" borderId="1" xfId="4" applyFont="1" applyFill="1" applyBorder="1"/>
    <xf numFmtId="9" fontId="18" fillId="5" borderId="0" xfId="4" applyFont="1" applyFill="1" applyBorder="1"/>
    <xf numFmtId="165" fontId="4" fillId="5" borderId="3" xfId="2" applyNumberFormat="1" applyFont="1" applyFill="1" applyBorder="1"/>
    <xf numFmtId="165" fontId="4" fillId="9" borderId="3" xfId="2" applyNumberFormat="1" applyFont="1" applyFill="1" applyBorder="1"/>
    <xf numFmtId="165" fontId="3" fillId="9" borderId="3" xfId="2" applyNumberFormat="1" applyFont="1" applyFill="1" applyBorder="1"/>
    <xf numFmtId="165" fontId="3" fillId="9" borderId="1" xfId="2" applyNumberFormat="1" applyFont="1" applyFill="1" applyBorder="1"/>
    <xf numFmtId="165" fontId="18" fillId="9" borderId="1" xfId="2" applyNumberFormat="1" applyFont="1" applyFill="1" applyBorder="1"/>
    <xf numFmtId="165" fontId="3" fillId="9" borderId="2" xfId="2" applyNumberFormat="1" applyFont="1" applyFill="1" applyBorder="1"/>
    <xf numFmtId="9" fontId="18" fillId="9" borderId="1" xfId="4" applyFont="1" applyFill="1" applyBorder="1"/>
    <xf numFmtId="165" fontId="4" fillId="2" borderId="0" xfId="2" applyNumberFormat="1" applyFont="1" applyFill="1"/>
    <xf numFmtId="165" fontId="4" fillId="5" borderId="1" xfId="2" applyNumberFormat="1" applyFont="1" applyFill="1" applyBorder="1"/>
    <xf numFmtId="165" fontId="7" fillId="2" borderId="0" xfId="2" applyNumberFormat="1" applyFont="1" applyFill="1"/>
    <xf numFmtId="165" fontId="15" fillId="2" borderId="0" xfId="2" applyNumberFormat="1" applyFont="1" applyFill="1"/>
    <xf numFmtId="165" fontId="16" fillId="2" borderId="0" xfId="2" applyNumberFormat="1" applyFont="1" applyFill="1"/>
    <xf numFmtId="165" fontId="7" fillId="5" borderId="0" xfId="2" applyNumberFormat="1" applyFont="1" applyFill="1"/>
    <xf numFmtId="9" fontId="7" fillId="4" borderId="1" xfId="4" applyFont="1" applyFill="1" applyBorder="1"/>
    <xf numFmtId="9" fontId="19" fillId="2" borderId="1" xfId="4" applyFont="1" applyFill="1" applyBorder="1"/>
    <xf numFmtId="165" fontId="7" fillId="2" borderId="1" xfId="2" applyNumberFormat="1" applyFont="1" applyFill="1" applyBorder="1"/>
    <xf numFmtId="165" fontId="7" fillId="2" borderId="0" xfId="2" applyNumberFormat="1" applyFont="1" applyFill="1" applyBorder="1"/>
    <xf numFmtId="9" fontId="19" fillId="2" borderId="0" xfId="4" applyFont="1" applyFill="1" applyBorder="1"/>
    <xf numFmtId="165" fontId="7" fillId="2" borderId="2" xfId="2" applyNumberFormat="1" applyFont="1" applyFill="1" applyBorder="1"/>
    <xf numFmtId="165" fontId="7" fillId="4" borderId="2" xfId="2" applyNumberFormat="1" applyFont="1" applyFill="1" applyBorder="1"/>
    <xf numFmtId="165" fontId="17" fillId="2" borderId="0" xfId="2" applyNumberFormat="1" applyFont="1" applyFill="1"/>
    <xf numFmtId="169" fontId="17" fillId="2" borderId="0" xfId="2" applyNumberFormat="1" applyFont="1" applyFill="1"/>
    <xf numFmtId="165" fontId="7" fillId="5" borderId="1" xfId="2" applyNumberFormat="1" applyFont="1" applyFill="1" applyBorder="1"/>
    <xf numFmtId="165" fontId="7" fillId="5" borderId="0" xfId="2" applyNumberFormat="1" applyFont="1" applyFill="1" applyBorder="1"/>
    <xf numFmtId="165" fontId="7" fillId="5" borderId="2" xfId="2" applyNumberFormat="1" applyFont="1" applyFill="1" applyBorder="1"/>
    <xf numFmtId="165" fontId="16" fillId="13" borderId="3" xfId="2" applyNumberFormat="1" applyFont="1" applyFill="1" applyBorder="1"/>
    <xf numFmtId="165" fontId="7" fillId="12" borderId="1" xfId="2" applyNumberFormat="1" applyFont="1" applyFill="1" applyBorder="1"/>
    <xf numFmtId="165" fontId="7" fillId="12" borderId="2" xfId="2" applyNumberFormat="1" applyFont="1" applyFill="1" applyBorder="1"/>
    <xf numFmtId="165" fontId="16" fillId="2" borderId="0" xfId="2" applyNumberFormat="1" applyFont="1" applyFill="1" applyBorder="1"/>
    <xf numFmtId="165" fontId="7" fillId="14" borderId="0" xfId="2" applyNumberFormat="1" applyFont="1" applyFill="1" applyBorder="1"/>
    <xf numFmtId="165" fontId="4" fillId="14" borderId="3" xfId="2" applyNumberFormat="1" applyFont="1" applyFill="1" applyBorder="1"/>
    <xf numFmtId="165" fontId="3" fillId="14" borderId="1" xfId="2" applyNumberFormat="1" applyFont="1" applyFill="1" applyBorder="1"/>
    <xf numFmtId="165" fontId="18" fillId="14" borderId="1" xfId="2" applyNumberFormat="1" applyFont="1" applyFill="1" applyBorder="1"/>
    <xf numFmtId="165" fontId="3" fillId="14" borderId="2" xfId="2" applyNumberFormat="1" applyFont="1" applyFill="1" applyBorder="1"/>
    <xf numFmtId="165" fontId="3" fillId="14" borderId="3" xfId="2" applyNumberFormat="1" applyFont="1" applyFill="1" applyBorder="1"/>
    <xf numFmtId="165" fontId="4" fillId="14" borderId="1" xfId="2" applyNumberFormat="1" applyFont="1" applyFill="1" applyBorder="1"/>
    <xf numFmtId="165" fontId="3" fillId="14" borderId="0" xfId="2" applyNumberFormat="1" applyFont="1" applyFill="1" applyBorder="1"/>
    <xf numFmtId="9" fontId="18" fillId="14" borderId="3" xfId="4" applyFont="1" applyFill="1" applyBorder="1"/>
    <xf numFmtId="9" fontId="18" fillId="14" borderId="2" xfId="4" applyFont="1" applyFill="1" applyBorder="1"/>
    <xf numFmtId="165" fontId="18" fillId="14" borderId="2" xfId="2" applyNumberFormat="1" applyFont="1" applyFill="1" applyBorder="1"/>
    <xf numFmtId="169" fontId="4" fillId="14" borderId="3" xfId="2" applyNumberFormat="1" applyFont="1" applyFill="1" applyBorder="1"/>
    <xf numFmtId="165" fontId="8" fillId="2" borderId="0" xfId="2" applyNumberFormat="1" applyFont="1" applyFill="1"/>
    <xf numFmtId="165" fontId="7" fillId="14" borderId="1" xfId="2" applyNumberFormat="1" applyFont="1" applyFill="1" applyBorder="1"/>
    <xf numFmtId="165" fontId="7" fillId="14" borderId="2" xfId="2" applyNumberFormat="1" applyFont="1" applyFill="1" applyBorder="1"/>
    <xf numFmtId="165" fontId="7" fillId="11" borderId="1" xfId="2" applyNumberFormat="1" applyFont="1" applyFill="1" applyBorder="1"/>
    <xf numFmtId="165" fontId="19" fillId="11" borderId="1" xfId="2" applyNumberFormat="1" applyFont="1" applyFill="1" applyBorder="1"/>
    <xf numFmtId="165" fontId="7" fillId="11" borderId="0" xfId="2" applyNumberFormat="1" applyFont="1" applyFill="1" applyBorder="1"/>
    <xf numFmtId="165" fontId="19" fillId="11" borderId="0" xfId="2" applyNumberFormat="1" applyFont="1" applyFill="1" applyBorder="1"/>
    <xf numFmtId="165" fontId="7" fillId="11" borderId="2" xfId="2" applyNumberFormat="1" applyFont="1" applyFill="1" applyBorder="1"/>
    <xf numFmtId="165" fontId="19" fillId="11" borderId="2" xfId="2" applyNumberFormat="1" applyFont="1" applyFill="1" applyBorder="1"/>
    <xf numFmtId="9" fontId="19" fillId="11" borderId="1" xfId="4" applyFont="1" applyFill="1" applyBorder="1"/>
    <xf numFmtId="9" fontId="19" fillId="11" borderId="0" xfId="4" applyFont="1" applyFill="1" applyBorder="1"/>
    <xf numFmtId="165" fontId="23" fillId="7" borderId="4" xfId="2" applyNumberFormat="1" applyFont="1" applyFill="1" applyBorder="1"/>
    <xf numFmtId="165" fontId="7" fillId="12" borderId="0" xfId="2" applyNumberFormat="1" applyFont="1" applyFill="1" applyBorder="1"/>
    <xf numFmtId="9" fontId="7" fillId="12" borderId="2" xfId="4" applyFont="1" applyFill="1" applyBorder="1"/>
    <xf numFmtId="165" fontId="26" fillId="2" borderId="0" xfId="2" applyNumberFormat="1" applyFont="1" applyFill="1"/>
    <xf numFmtId="9" fontId="26" fillId="2" borderId="0" xfId="4" applyFont="1" applyFill="1"/>
    <xf numFmtId="167" fontId="26" fillId="2" borderId="0" xfId="4" applyNumberFormat="1" applyFont="1" applyFill="1"/>
    <xf numFmtId="165" fontId="27" fillId="2" borderId="0" xfId="2" applyNumberFormat="1" applyFont="1" applyFill="1"/>
    <xf numFmtId="9" fontId="27" fillId="2" borderId="0" xfId="4" applyFont="1" applyFill="1"/>
    <xf numFmtId="165" fontId="5" fillId="2" borderId="0" xfId="2" applyNumberFormat="1" applyFont="1" applyFill="1"/>
    <xf numFmtId="165" fontId="5" fillId="5" borderId="0" xfId="2" applyNumberFormat="1" applyFont="1" applyFill="1"/>
    <xf numFmtId="165" fontId="5" fillId="9" borderId="0" xfId="2" applyNumberFormat="1" applyFont="1" applyFill="1"/>
    <xf numFmtId="165" fontId="5" fillId="9" borderId="2" xfId="2" applyNumberFormat="1" applyFont="1" applyFill="1" applyBorder="1"/>
    <xf numFmtId="165" fontId="5" fillId="9" borderId="3" xfId="2" applyNumberFormat="1" applyFont="1" applyFill="1" applyBorder="1"/>
    <xf numFmtId="165" fontId="5" fillId="9" borderId="1" xfId="2" applyNumberFormat="1" applyFont="1" applyFill="1" applyBorder="1"/>
    <xf numFmtId="165" fontId="9" fillId="2" borderId="3" xfId="2" applyNumberFormat="1" applyFont="1" applyFill="1" applyBorder="1"/>
    <xf numFmtId="165" fontId="5" fillId="2" borderId="2" xfId="2" applyNumberFormat="1" applyFont="1" applyFill="1" applyBorder="1"/>
    <xf numFmtId="168" fontId="18" fillId="5" borderId="0" xfId="2" applyNumberFormat="1" applyFont="1" applyFill="1" applyBorder="1"/>
    <xf numFmtId="165" fontId="5" fillId="2" borderId="1" xfId="2" applyNumberFormat="1" applyFont="1" applyFill="1" applyBorder="1"/>
    <xf numFmtId="165" fontId="5" fillId="2" borderId="0" xfId="2" applyNumberFormat="1" applyFont="1" applyFill="1" applyBorder="1"/>
    <xf numFmtId="165" fontId="12" fillId="2" borderId="1" xfId="2" applyNumberFormat="1" applyFont="1" applyFill="1" applyBorder="1"/>
    <xf numFmtId="165" fontId="12" fillId="2" borderId="2" xfId="2" applyNumberFormat="1" applyFont="1" applyFill="1" applyBorder="1"/>
    <xf numFmtId="9" fontId="18" fillId="2" borderId="2" xfId="4" applyFont="1" applyFill="1" applyBorder="1"/>
    <xf numFmtId="165" fontId="4" fillId="2" borderId="1" xfId="2" applyNumberFormat="1" applyFont="1" applyFill="1" applyBorder="1"/>
    <xf numFmtId="168" fontId="3" fillId="2" borderId="0" xfId="2" applyNumberFormat="1" applyFont="1" applyFill="1" applyBorder="1"/>
    <xf numFmtId="165" fontId="14" fillId="2" borderId="0" xfId="2" applyNumberFormat="1" applyFont="1" applyFill="1"/>
    <xf numFmtId="165" fontId="13" fillId="6" borderId="2" xfId="2" applyNumberFormat="1" applyFont="1" applyFill="1" applyBorder="1"/>
    <xf numFmtId="169" fontId="28" fillId="2" borderId="0" xfId="2" applyNumberFormat="1" applyFont="1" applyFill="1"/>
    <xf numFmtId="165" fontId="21" fillId="2" borderId="0" xfId="2" applyNumberFormat="1" applyFont="1" applyFill="1"/>
    <xf numFmtId="168" fontId="21" fillId="2" borderId="0" xfId="2" applyNumberFormat="1" applyFont="1" applyFill="1"/>
    <xf numFmtId="165" fontId="4" fillId="9" borderId="1" xfId="2" applyNumberFormat="1" applyFont="1" applyFill="1" applyBorder="1"/>
    <xf numFmtId="165" fontId="3" fillId="9" borderId="0" xfId="2" applyNumberFormat="1" applyFont="1" applyFill="1" applyBorder="1"/>
    <xf numFmtId="165" fontId="18" fillId="9" borderId="0" xfId="2" applyNumberFormat="1" applyFont="1" applyFill="1" applyBorder="1"/>
    <xf numFmtId="165" fontId="18" fillId="9" borderId="2" xfId="2" applyNumberFormat="1" applyFont="1" applyFill="1" applyBorder="1"/>
    <xf numFmtId="168" fontId="18" fillId="9" borderId="3" xfId="2" applyNumberFormat="1" applyFont="1" applyFill="1" applyBorder="1"/>
    <xf numFmtId="165" fontId="11" fillId="9" borderId="3" xfId="2" applyNumberFormat="1" applyFont="1" applyFill="1" applyBorder="1"/>
    <xf numFmtId="9" fontId="18" fillId="9" borderId="3" xfId="4" applyFont="1" applyFill="1" applyBorder="1"/>
    <xf numFmtId="165" fontId="15" fillId="5" borderId="2" xfId="2" applyNumberFormat="1" applyFont="1" applyFill="1" applyBorder="1" applyAlignment="1">
      <alignment horizontal="right"/>
    </xf>
    <xf numFmtId="9" fontId="20" fillId="5" borderId="3" xfId="4" applyFont="1" applyFill="1" applyBorder="1"/>
    <xf numFmtId="165" fontId="18" fillId="11" borderId="1" xfId="2" applyNumberFormat="1" applyFont="1" applyFill="1" applyBorder="1"/>
    <xf numFmtId="165" fontId="4" fillId="11" borderId="0" xfId="2" applyNumberFormat="1" applyFont="1" applyFill="1"/>
    <xf numFmtId="165" fontId="5" fillId="9" borderId="0" xfId="2" applyNumberFormat="1" applyFont="1" applyFill="1" applyBorder="1"/>
    <xf numFmtId="165" fontId="4" fillId="9" borderId="1" xfId="2" applyNumberFormat="1" applyFont="1" applyFill="1" applyBorder="1" applyAlignment="1">
      <alignment horizontal="center"/>
    </xf>
    <xf numFmtId="165" fontId="4" fillId="2" borderId="0" xfId="2" applyNumberFormat="1" applyFont="1" applyFill="1" applyBorder="1"/>
    <xf numFmtId="165" fontId="3" fillId="14" borderId="0" xfId="2" applyNumberFormat="1" applyFont="1" applyFill="1" applyBorder="1" applyAlignment="1">
      <alignment horizontal="left"/>
    </xf>
    <xf numFmtId="165" fontId="3" fillId="14" borderId="1" xfId="2" applyNumberFormat="1" applyFont="1" applyFill="1" applyBorder="1" applyAlignment="1">
      <alignment horizontal="left"/>
    </xf>
    <xf numFmtId="165" fontId="3" fillId="14" borderId="2" xfId="2" applyNumberFormat="1" applyFont="1" applyFill="1" applyBorder="1" applyAlignment="1">
      <alignment horizontal="left"/>
    </xf>
    <xf numFmtId="165" fontId="3" fillId="11" borderId="1" xfId="2" applyNumberFormat="1" applyFont="1" applyFill="1" applyBorder="1"/>
    <xf numFmtId="165" fontId="4" fillId="14" borderId="2" xfId="2" applyNumberFormat="1" applyFont="1" applyFill="1" applyBorder="1"/>
    <xf numFmtId="169" fontId="11" fillId="2" borderId="0" xfId="2" applyNumberFormat="1" applyFont="1" applyFill="1" applyBorder="1"/>
    <xf numFmtId="165" fontId="3" fillId="11" borderId="0" xfId="2" applyNumberFormat="1" applyFont="1" applyFill="1"/>
    <xf numFmtId="165" fontId="4" fillId="11" borderId="1" xfId="2" applyNumberFormat="1" applyFont="1" applyFill="1" applyBorder="1" applyAlignment="1">
      <alignment horizontal="left"/>
    </xf>
    <xf numFmtId="165" fontId="4" fillId="11" borderId="1" xfId="2" applyNumberFormat="1" applyFont="1" applyFill="1" applyBorder="1" applyAlignment="1">
      <alignment horizontal="center"/>
    </xf>
    <xf numFmtId="165" fontId="3" fillId="11" borderId="0" xfId="2" applyNumberFormat="1" applyFont="1" applyFill="1" applyBorder="1"/>
    <xf numFmtId="165" fontId="4" fillId="11" borderId="3" xfId="2" applyNumberFormat="1" applyFont="1" applyFill="1" applyBorder="1"/>
    <xf numFmtId="165" fontId="3" fillId="11" borderId="3" xfId="2" applyNumberFormat="1" applyFont="1" applyFill="1" applyBorder="1"/>
    <xf numFmtId="165" fontId="18" fillId="11" borderId="0" xfId="2" applyNumberFormat="1" applyFont="1" applyFill="1" applyBorder="1"/>
    <xf numFmtId="9" fontId="18" fillId="11" borderId="3" xfId="4" applyFont="1" applyFill="1" applyBorder="1"/>
    <xf numFmtId="165" fontId="16" fillId="4" borderId="1" xfId="2" applyNumberFormat="1" applyFont="1" applyFill="1" applyBorder="1"/>
    <xf numFmtId="165" fontId="16" fillId="11" borderId="1" xfId="2" applyNumberFormat="1" applyFont="1" applyFill="1" applyBorder="1"/>
    <xf numFmtId="165" fontId="17" fillId="4" borderId="1" xfId="2" applyNumberFormat="1" applyFont="1" applyFill="1" applyBorder="1"/>
    <xf numFmtId="165" fontId="17" fillId="4" borderId="2" xfId="2" applyNumberFormat="1" applyFont="1" applyFill="1" applyBorder="1"/>
    <xf numFmtId="9" fontId="19" fillId="5" borderId="1" xfId="4" applyFont="1" applyFill="1" applyBorder="1"/>
    <xf numFmtId="165" fontId="17" fillId="2" borderId="0" xfId="2" applyNumberFormat="1" applyFont="1" applyFill="1" applyBorder="1"/>
    <xf numFmtId="165" fontId="17" fillId="11" borderId="1" xfId="2" applyNumberFormat="1" applyFont="1" applyFill="1" applyBorder="1"/>
    <xf numFmtId="9" fontId="7" fillId="11" borderId="1" xfId="4" applyFont="1" applyFill="1" applyBorder="1"/>
    <xf numFmtId="165" fontId="17" fillId="11" borderId="2" xfId="2" applyNumberFormat="1" applyFont="1" applyFill="1" applyBorder="1"/>
    <xf numFmtId="165" fontId="17" fillId="14" borderId="2" xfId="2" applyNumberFormat="1" applyFont="1" applyFill="1" applyBorder="1"/>
    <xf numFmtId="169" fontId="4" fillId="2" borderId="0" xfId="2" applyNumberFormat="1" applyFont="1" applyFill="1"/>
    <xf numFmtId="169" fontId="3" fillId="2" borderId="0" xfId="2" applyNumberFormat="1" applyFont="1" applyFill="1"/>
    <xf numFmtId="169" fontId="14" fillId="2" borderId="0" xfId="2" applyNumberFormat="1" applyFont="1" applyFill="1"/>
    <xf numFmtId="169" fontId="3" fillId="9" borderId="1" xfId="2" applyNumberFormat="1" applyFont="1" applyFill="1" applyBorder="1"/>
    <xf numFmtId="169" fontId="3" fillId="9" borderId="2" xfId="2" applyNumberFormat="1" applyFont="1" applyFill="1" applyBorder="1"/>
    <xf numFmtId="9" fontId="3" fillId="9" borderId="2" xfId="4" applyFont="1" applyFill="1" applyBorder="1"/>
    <xf numFmtId="169" fontId="11" fillId="2" borderId="0" xfId="2" applyNumberFormat="1" applyFont="1" applyFill="1"/>
    <xf numFmtId="169" fontId="3" fillId="9" borderId="3" xfId="2" applyNumberFormat="1" applyFont="1" applyFill="1" applyBorder="1"/>
    <xf numFmtId="170" fontId="3" fillId="9" borderId="3" xfId="2" applyNumberFormat="1" applyFont="1" applyFill="1" applyBorder="1"/>
    <xf numFmtId="169" fontId="29" fillId="2" borderId="0" xfId="2" applyNumberFormat="1" applyFont="1" applyFill="1"/>
    <xf numFmtId="170" fontId="18" fillId="9" borderId="3" xfId="2" applyNumberFormat="1" applyFont="1" applyFill="1" applyBorder="1"/>
    <xf numFmtId="169" fontId="3" fillId="9" borderId="0" xfId="2" applyNumberFormat="1" applyFont="1" applyFill="1"/>
    <xf numFmtId="9" fontId="18" fillId="9" borderId="0" xfId="4" applyFont="1" applyFill="1"/>
    <xf numFmtId="169" fontId="4" fillId="9" borderId="3" xfId="2" applyNumberFormat="1" applyFont="1" applyFill="1" applyBorder="1"/>
    <xf numFmtId="9" fontId="4" fillId="9" borderId="3" xfId="4" applyFont="1" applyFill="1" applyBorder="1"/>
    <xf numFmtId="9" fontId="5" fillId="2" borderId="0" xfId="4" applyFont="1" applyFill="1"/>
    <xf numFmtId="165" fontId="30" fillId="2" borderId="0" xfId="2" applyNumberFormat="1" applyFont="1" applyFill="1"/>
    <xf numFmtId="169" fontId="18" fillId="9" borderId="1" xfId="2" applyNumberFormat="1" applyFont="1" applyFill="1" applyBorder="1"/>
    <xf numFmtId="169" fontId="18" fillId="9" borderId="2" xfId="2" applyNumberFormat="1" applyFont="1" applyFill="1" applyBorder="1"/>
    <xf numFmtId="165" fontId="4" fillId="3" borderId="1" xfId="2" applyNumberFormat="1" applyFont="1" applyFill="1" applyBorder="1" applyAlignment="1">
      <alignment horizontal="center"/>
    </xf>
    <xf numFmtId="165" fontId="4" fillId="3" borderId="2" xfId="2" applyNumberFormat="1" applyFont="1" applyFill="1" applyBorder="1" applyAlignment="1">
      <alignment horizontal="center"/>
    </xf>
    <xf numFmtId="9" fontId="20" fillId="3" borderId="2" xfId="4" applyFont="1" applyFill="1" applyBorder="1" applyAlignment="1">
      <alignment horizontal="center"/>
    </xf>
    <xf numFmtId="165" fontId="18" fillId="3" borderId="0" xfId="2" applyNumberFormat="1" applyFont="1" applyFill="1" applyBorder="1"/>
    <xf numFmtId="165" fontId="12" fillId="3" borderId="2" xfId="2" applyNumberFormat="1" applyFont="1" applyFill="1" applyBorder="1"/>
    <xf numFmtId="9" fontId="18" fillId="3" borderId="1" xfId="4" applyFont="1" applyFill="1" applyBorder="1"/>
    <xf numFmtId="9" fontId="18" fillId="3" borderId="0" xfId="4" applyFont="1" applyFill="1" applyBorder="1"/>
    <xf numFmtId="9" fontId="18" fillId="3" borderId="2" xfId="4" applyFont="1" applyFill="1" applyBorder="1"/>
    <xf numFmtId="165" fontId="4" fillId="3" borderId="1" xfId="2" applyNumberFormat="1" applyFont="1" applyFill="1" applyBorder="1"/>
    <xf numFmtId="165" fontId="9" fillId="3" borderId="3" xfId="2" applyNumberFormat="1" applyFont="1" applyFill="1" applyBorder="1"/>
    <xf numFmtId="165" fontId="18" fillId="3" borderId="1" xfId="2" applyNumberFormat="1" applyFont="1" applyFill="1" applyBorder="1"/>
    <xf numFmtId="165" fontId="3" fillId="3" borderId="2" xfId="2" applyNumberFormat="1" applyFont="1" applyFill="1" applyBorder="1"/>
    <xf numFmtId="165" fontId="4" fillId="3" borderId="3" xfId="2" applyNumberFormat="1" applyFont="1" applyFill="1" applyBorder="1"/>
    <xf numFmtId="165" fontId="18" fillId="5" borderId="2" xfId="2" applyNumberFormat="1" applyFont="1" applyFill="1" applyBorder="1"/>
    <xf numFmtId="165" fontId="3" fillId="9" borderId="0" xfId="2" applyNumberFormat="1" applyFont="1" applyFill="1"/>
    <xf numFmtId="165" fontId="31" fillId="4" borderId="2" xfId="2" applyNumberFormat="1" applyFont="1" applyFill="1" applyBorder="1" applyAlignment="1">
      <alignment horizontal="left"/>
    </xf>
    <xf numFmtId="167" fontId="7" fillId="12" borderId="1" xfId="4" applyNumberFormat="1" applyFont="1" applyFill="1" applyBorder="1"/>
    <xf numFmtId="165" fontId="33" fillId="2" borderId="0" xfId="2" applyNumberFormat="1" applyFont="1" applyFill="1" applyAlignment="1">
      <alignment vertical="center"/>
    </xf>
    <xf numFmtId="165" fontId="4" fillId="15" borderId="1" xfId="2" applyNumberFormat="1" applyFont="1" applyFill="1" applyBorder="1" applyAlignment="1">
      <alignment horizontal="center"/>
    </xf>
    <xf numFmtId="165" fontId="3" fillId="15" borderId="2" xfId="2" applyNumberFormat="1" applyFont="1" applyFill="1" applyBorder="1" applyAlignment="1">
      <alignment horizontal="center"/>
    </xf>
    <xf numFmtId="165" fontId="18" fillId="15" borderId="1" xfId="2" applyNumberFormat="1" applyFont="1" applyFill="1" applyBorder="1"/>
    <xf numFmtId="165" fontId="3" fillId="15" borderId="2" xfId="2" applyNumberFormat="1" applyFont="1" applyFill="1" applyBorder="1"/>
    <xf numFmtId="9" fontId="18" fillId="15" borderId="1" xfId="4" applyFont="1" applyFill="1" applyBorder="1"/>
    <xf numFmtId="9" fontId="18" fillId="15" borderId="0" xfId="4" applyFont="1" applyFill="1" applyBorder="1"/>
    <xf numFmtId="9" fontId="18" fillId="15" borderId="2" xfId="4" applyFont="1" applyFill="1" applyBorder="1"/>
    <xf numFmtId="165" fontId="4" fillId="15" borderId="1" xfId="2" applyNumberFormat="1" applyFont="1" applyFill="1" applyBorder="1"/>
    <xf numFmtId="165" fontId="20" fillId="15" borderId="3" xfId="2" applyNumberFormat="1" applyFont="1" applyFill="1" applyBorder="1"/>
    <xf numFmtId="165" fontId="4" fillId="15" borderId="3" xfId="2" applyNumberFormat="1" applyFont="1" applyFill="1" applyBorder="1"/>
    <xf numFmtId="165" fontId="4" fillId="3" borderId="6" xfId="2" applyNumberFormat="1" applyFont="1" applyFill="1" applyBorder="1" applyAlignment="1">
      <alignment horizontal="center"/>
    </xf>
    <xf numFmtId="165" fontId="9" fillId="8" borderId="7" xfId="2" applyNumberFormat="1" applyFont="1" applyFill="1" applyBorder="1" applyAlignment="1">
      <alignment horizontal="center"/>
    </xf>
    <xf numFmtId="165" fontId="4" fillId="3" borderId="8" xfId="2" applyNumberFormat="1" applyFont="1" applyFill="1" applyBorder="1" applyAlignment="1">
      <alignment horizontal="center"/>
    </xf>
    <xf numFmtId="165" fontId="3" fillId="8" borderId="9" xfId="2" applyNumberFormat="1" applyFont="1" applyFill="1" applyBorder="1"/>
    <xf numFmtId="165" fontId="18" fillId="3" borderId="10" xfId="2" applyNumberFormat="1" applyFont="1" applyFill="1" applyBorder="1"/>
    <xf numFmtId="165" fontId="3" fillId="8" borderId="7" xfId="2" applyNumberFormat="1" applyFont="1" applyFill="1" applyBorder="1"/>
    <xf numFmtId="165" fontId="12" fillId="3" borderId="8" xfId="2" applyNumberFormat="1" applyFont="1" applyFill="1" applyBorder="1"/>
    <xf numFmtId="165" fontId="5" fillId="8" borderId="9" xfId="2" applyNumberFormat="1" applyFont="1" applyFill="1" applyBorder="1"/>
    <xf numFmtId="9" fontId="18" fillId="3" borderId="6" xfId="4" applyFont="1" applyFill="1" applyBorder="1"/>
    <xf numFmtId="165" fontId="5" fillId="8" borderId="7" xfId="2" applyNumberFormat="1" applyFont="1" applyFill="1" applyBorder="1"/>
    <xf numFmtId="165" fontId="5" fillId="8" borderId="11" xfId="2" applyNumberFormat="1" applyFont="1" applyFill="1" applyBorder="1"/>
    <xf numFmtId="9" fontId="18" fillId="3" borderId="10" xfId="4" applyFont="1" applyFill="1" applyBorder="1"/>
    <xf numFmtId="9" fontId="18" fillId="3" borderId="8" xfId="4" applyFont="1" applyFill="1" applyBorder="1"/>
    <xf numFmtId="165" fontId="4" fillId="3" borderId="6" xfId="2" applyNumberFormat="1" applyFont="1" applyFill="1" applyBorder="1"/>
    <xf numFmtId="165" fontId="4" fillId="9" borderId="0" xfId="2" applyNumberFormat="1" applyFont="1" applyFill="1" applyBorder="1"/>
    <xf numFmtId="165" fontId="5" fillId="8" borderId="12" xfId="2" applyNumberFormat="1" applyFont="1" applyFill="1" applyBorder="1"/>
    <xf numFmtId="165" fontId="9" fillId="3" borderId="13" xfId="2" applyNumberFormat="1" applyFont="1" applyFill="1" applyBorder="1"/>
    <xf numFmtId="165" fontId="18" fillId="3" borderId="6" xfId="2" applyNumberFormat="1" applyFont="1" applyFill="1" applyBorder="1"/>
    <xf numFmtId="165" fontId="18" fillId="8" borderId="7" xfId="2" applyNumberFormat="1" applyFont="1" applyFill="1" applyBorder="1"/>
    <xf numFmtId="165" fontId="3" fillId="3" borderId="8" xfId="2" applyNumberFormat="1" applyFont="1" applyFill="1" applyBorder="1"/>
    <xf numFmtId="9" fontId="18" fillId="8" borderId="7" xfId="4" applyFont="1" applyFill="1" applyBorder="1"/>
    <xf numFmtId="165" fontId="4" fillId="3" borderId="13" xfId="2" applyNumberFormat="1" applyFont="1" applyFill="1" applyBorder="1"/>
    <xf numFmtId="165" fontId="4" fillId="8" borderId="12" xfId="2" applyNumberFormat="1" applyFont="1" applyFill="1" applyBorder="1"/>
    <xf numFmtId="165" fontId="4" fillId="5" borderId="14" xfId="2" applyNumberFormat="1" applyFont="1" applyFill="1" applyBorder="1" applyAlignment="1">
      <alignment horizontal="center"/>
    </xf>
    <xf numFmtId="165" fontId="4" fillId="5" borderId="15" xfId="2" applyNumberFormat="1" applyFont="1" applyFill="1" applyBorder="1" applyAlignment="1">
      <alignment horizontal="center"/>
    </xf>
    <xf numFmtId="165" fontId="3" fillId="5" borderId="14" xfId="2" applyNumberFormat="1" applyFont="1" applyFill="1" applyBorder="1"/>
    <xf numFmtId="165" fontId="3" fillId="5" borderId="15" xfId="2" applyNumberFormat="1" applyFont="1" applyFill="1" applyBorder="1"/>
    <xf numFmtId="165" fontId="5" fillId="5" borderId="5" xfId="2" applyNumberFormat="1" applyFont="1" applyFill="1" applyBorder="1"/>
    <xf numFmtId="165" fontId="4" fillId="5" borderId="5" xfId="2" applyNumberFormat="1" applyFont="1" applyFill="1" applyBorder="1"/>
    <xf numFmtId="165" fontId="4" fillId="14" borderId="14" xfId="2" applyNumberFormat="1" applyFont="1" applyFill="1" applyBorder="1" applyAlignment="1">
      <alignment horizontal="center"/>
    </xf>
    <xf numFmtId="165" fontId="4" fillId="14" borderId="15" xfId="2" applyNumberFormat="1" applyFont="1" applyFill="1" applyBorder="1" applyAlignment="1">
      <alignment horizontal="center"/>
    </xf>
    <xf numFmtId="165" fontId="3" fillId="14" borderId="14" xfId="2" applyNumberFormat="1" applyFont="1" applyFill="1" applyBorder="1"/>
    <xf numFmtId="165" fontId="3" fillId="14" borderId="15" xfId="2" applyNumberFormat="1" applyFont="1" applyFill="1" applyBorder="1"/>
    <xf numFmtId="165" fontId="5" fillId="14" borderId="14" xfId="2" applyNumberFormat="1" applyFont="1" applyFill="1" applyBorder="1"/>
    <xf numFmtId="165" fontId="5" fillId="14" borderId="16" xfId="2" applyNumberFormat="1" applyFont="1" applyFill="1" applyBorder="1"/>
    <xf numFmtId="165" fontId="5" fillId="14" borderId="15" xfId="2" applyNumberFormat="1" applyFont="1" applyFill="1" applyBorder="1"/>
    <xf numFmtId="165" fontId="5" fillId="14" borderId="5" xfId="2" applyNumberFormat="1" applyFont="1" applyFill="1" applyBorder="1"/>
    <xf numFmtId="165" fontId="4" fillId="14" borderId="5" xfId="2" applyNumberFormat="1" applyFont="1" applyFill="1" applyBorder="1"/>
    <xf numFmtId="165" fontId="29" fillId="5" borderId="0" xfId="2" applyNumberFormat="1" applyFont="1" applyFill="1"/>
    <xf numFmtId="168" fontId="18" fillId="3" borderId="10" xfId="2" applyNumberFormat="1" applyFont="1" applyFill="1" applyBorder="1"/>
    <xf numFmtId="168" fontId="18" fillId="3" borderId="0" xfId="2" applyNumberFormat="1" applyFont="1" applyFill="1" applyBorder="1"/>
    <xf numFmtId="167" fontId="5" fillId="2" borderId="0" xfId="4" applyNumberFormat="1" applyFont="1" applyFill="1"/>
    <xf numFmtId="165" fontId="20" fillId="3" borderId="3" xfId="2" applyNumberFormat="1" applyFont="1" applyFill="1" applyBorder="1"/>
    <xf numFmtId="168" fontId="5" fillId="2" borderId="0" xfId="2" applyNumberFormat="1" applyFont="1" applyFill="1"/>
    <xf numFmtId="168" fontId="18" fillId="15" borderId="0" xfId="2" applyNumberFormat="1" applyFont="1" applyFill="1" applyBorder="1"/>
    <xf numFmtId="9" fontId="3" fillId="5" borderId="14" xfId="4" applyFont="1" applyFill="1" applyBorder="1"/>
    <xf numFmtId="168" fontId="3" fillId="5" borderId="16" xfId="2" applyNumberFormat="1" applyFont="1" applyFill="1" applyBorder="1"/>
    <xf numFmtId="9" fontId="3" fillId="5" borderId="16" xfId="4" applyFont="1" applyFill="1" applyBorder="1"/>
    <xf numFmtId="9" fontId="3" fillId="5" borderId="15" xfId="4" applyFont="1" applyFill="1" applyBorder="1"/>
    <xf numFmtId="165" fontId="11" fillId="2" borderId="3" xfId="2" applyNumberFormat="1" applyFont="1" applyFill="1" applyBorder="1" applyAlignment="1">
      <alignment horizontal="right"/>
    </xf>
    <xf numFmtId="165" fontId="34" fillId="6" borderId="2" xfId="2" applyNumberFormat="1" applyFont="1" applyFill="1" applyBorder="1"/>
    <xf numFmtId="165" fontId="35" fillId="14" borderId="4" xfId="2" applyNumberFormat="1" applyFont="1" applyFill="1" applyBorder="1"/>
    <xf numFmtId="165" fontId="31" fillId="2" borderId="0" xfId="2" applyNumberFormat="1" applyFont="1" applyFill="1"/>
    <xf numFmtId="165" fontId="31" fillId="14" borderId="3" xfId="2" applyNumberFormat="1" applyFont="1" applyFill="1" applyBorder="1"/>
    <xf numFmtId="165" fontId="7" fillId="8" borderId="1" xfId="2" applyNumberFormat="1" applyFont="1" applyFill="1" applyBorder="1"/>
    <xf numFmtId="165" fontId="7" fillId="8" borderId="0" xfId="2" applyNumberFormat="1" applyFont="1" applyFill="1" applyBorder="1"/>
    <xf numFmtId="165" fontId="7" fillId="8" borderId="2" xfId="2" applyNumberFormat="1" applyFont="1" applyFill="1" applyBorder="1"/>
    <xf numFmtId="165" fontId="3" fillId="3" borderId="0" xfId="2" applyNumberFormat="1" applyFont="1" applyFill="1"/>
    <xf numFmtId="165" fontId="3" fillId="3" borderId="1" xfId="2" applyNumberFormat="1" applyFont="1" applyFill="1" applyBorder="1"/>
    <xf numFmtId="165" fontId="18" fillId="3" borderId="2" xfId="2" applyNumberFormat="1" applyFont="1" applyFill="1" applyBorder="1"/>
    <xf numFmtId="9" fontId="3" fillId="14" borderId="14" xfId="4" applyFont="1" applyFill="1" applyBorder="1"/>
    <xf numFmtId="165" fontId="16" fillId="12" borderId="3" xfId="2" applyNumberFormat="1" applyFont="1" applyFill="1" applyBorder="1"/>
    <xf numFmtId="9" fontId="30" fillId="2" borderId="0" xfId="4" applyFont="1" applyFill="1"/>
    <xf numFmtId="165" fontId="7" fillId="17" borderId="1" xfId="2" applyNumberFormat="1" applyFont="1" applyFill="1" applyBorder="1"/>
    <xf numFmtId="165" fontId="7" fillId="17" borderId="2" xfId="2" applyNumberFormat="1" applyFont="1" applyFill="1" applyBorder="1"/>
    <xf numFmtId="165" fontId="16" fillId="17" borderId="3" xfId="2" applyNumberFormat="1" applyFont="1" applyFill="1" applyBorder="1"/>
    <xf numFmtId="165" fontId="7" fillId="17" borderId="3" xfId="2" applyNumberFormat="1" applyFont="1" applyFill="1" applyBorder="1"/>
    <xf numFmtId="167" fontId="7" fillId="17" borderId="1" xfId="4" applyNumberFormat="1" applyFont="1" applyFill="1" applyBorder="1"/>
    <xf numFmtId="9" fontId="11" fillId="2" borderId="0" xfId="4" applyFont="1" applyFill="1"/>
    <xf numFmtId="165" fontId="16" fillId="14" borderId="1" xfId="2" applyNumberFormat="1" applyFont="1" applyFill="1" applyBorder="1"/>
    <xf numFmtId="167" fontId="16" fillId="14" borderId="1" xfId="4" applyNumberFormat="1" applyFont="1" applyFill="1" applyBorder="1"/>
    <xf numFmtId="165" fontId="16" fillId="14" borderId="2" xfId="2" applyNumberFormat="1" applyFont="1" applyFill="1" applyBorder="1"/>
    <xf numFmtId="165" fontId="16" fillId="8" borderId="1" xfId="2" applyNumberFormat="1" applyFont="1" applyFill="1" applyBorder="1"/>
    <xf numFmtId="167" fontId="16" fillId="8" borderId="1" xfId="4" applyNumberFormat="1" applyFont="1" applyFill="1" applyBorder="1"/>
    <xf numFmtId="165" fontId="16" fillId="8" borderId="2" xfId="2" applyNumberFormat="1" applyFont="1" applyFill="1" applyBorder="1"/>
    <xf numFmtId="165" fontId="32" fillId="2" borderId="0" xfId="2" applyNumberFormat="1" applyFont="1" applyFill="1" applyBorder="1"/>
    <xf numFmtId="9" fontId="32" fillId="2" borderId="0" xfId="4" applyFont="1" applyFill="1" applyBorder="1"/>
    <xf numFmtId="165" fontId="19" fillId="14" borderId="1" xfId="2" applyNumberFormat="1" applyFont="1" applyFill="1" applyBorder="1"/>
    <xf numFmtId="165" fontId="16" fillId="14" borderId="4" xfId="2" applyNumberFormat="1" applyFont="1" applyFill="1" applyBorder="1"/>
    <xf numFmtId="165" fontId="16" fillId="8" borderId="4" xfId="2" applyNumberFormat="1" applyFont="1" applyFill="1" applyBorder="1"/>
    <xf numFmtId="165" fontId="19" fillId="8" borderId="1" xfId="2" applyNumberFormat="1" applyFont="1" applyFill="1" applyBorder="1"/>
    <xf numFmtId="9" fontId="17" fillId="2" borderId="0" xfId="4" applyFont="1" applyFill="1"/>
    <xf numFmtId="165" fontId="19" fillId="2" borderId="0" xfId="2" applyNumberFormat="1" applyFont="1" applyFill="1"/>
    <xf numFmtId="165" fontId="16" fillId="5" borderId="4" xfId="2" applyNumberFormat="1" applyFont="1" applyFill="1" applyBorder="1"/>
    <xf numFmtId="165" fontId="19" fillId="5" borderId="1" xfId="2" applyNumberFormat="1" applyFont="1" applyFill="1" applyBorder="1"/>
    <xf numFmtId="165" fontId="7" fillId="5" borderId="0" xfId="2" applyNumberFormat="1" applyFont="1" applyFill="1" applyBorder="1" applyAlignment="1">
      <alignment horizontal="right"/>
    </xf>
    <xf numFmtId="9" fontId="7" fillId="5" borderId="0" xfId="4" applyFont="1" applyFill="1" applyBorder="1"/>
    <xf numFmtId="165" fontId="7" fillId="5" borderId="2" xfId="2" applyNumberFormat="1" applyFont="1" applyFill="1" applyBorder="1" applyAlignment="1">
      <alignment horizontal="right"/>
    </xf>
    <xf numFmtId="165" fontId="23" fillId="6" borderId="4" xfId="2" applyNumberFormat="1" applyFont="1" applyFill="1" applyBorder="1"/>
    <xf numFmtId="165" fontId="23" fillId="6" borderId="1" xfId="2" applyNumberFormat="1" applyFont="1" applyFill="1" applyBorder="1"/>
    <xf numFmtId="167" fontId="23" fillId="6" borderId="1" xfId="4" applyNumberFormat="1" applyFont="1" applyFill="1" applyBorder="1"/>
    <xf numFmtId="165" fontId="23" fillId="6" borderId="2" xfId="2" applyNumberFormat="1" applyFont="1" applyFill="1" applyBorder="1"/>
    <xf numFmtId="165" fontId="16" fillId="5" borderId="1" xfId="2" applyNumberFormat="1" applyFont="1" applyFill="1" applyBorder="1"/>
    <xf numFmtId="167" fontId="16" fillId="5" borderId="1" xfId="4" applyNumberFormat="1" applyFont="1" applyFill="1" applyBorder="1"/>
    <xf numFmtId="165" fontId="16" fillId="5" borderId="2" xfId="2" applyNumberFormat="1" applyFont="1" applyFill="1" applyBorder="1"/>
    <xf numFmtId="165" fontId="23" fillId="6" borderId="0" xfId="2" applyNumberFormat="1" applyFont="1" applyFill="1" applyBorder="1"/>
    <xf numFmtId="171" fontId="7" fillId="2" borderId="2" xfId="2" applyNumberFormat="1" applyFont="1" applyFill="1" applyBorder="1"/>
    <xf numFmtId="173" fontId="7" fillId="2" borderId="2" xfId="2" applyNumberFormat="1" applyFont="1" applyFill="1" applyBorder="1"/>
    <xf numFmtId="175" fontId="7" fillId="2" borderId="2" xfId="2" applyNumberFormat="1" applyFont="1" applyFill="1" applyBorder="1"/>
    <xf numFmtId="175" fontId="7" fillId="2" borderId="1" xfId="2" applyNumberFormat="1" applyFont="1" applyFill="1" applyBorder="1"/>
    <xf numFmtId="175" fontId="7" fillId="5" borderId="1" xfId="2" applyNumberFormat="1" applyFont="1" applyFill="1" applyBorder="1"/>
    <xf numFmtId="175" fontId="7" fillId="2" borderId="0" xfId="2" applyNumberFormat="1" applyFont="1" applyFill="1" applyBorder="1"/>
    <xf numFmtId="175" fontId="7" fillId="5" borderId="0" xfId="2" applyNumberFormat="1" applyFont="1" applyFill="1" applyBorder="1"/>
    <xf numFmtId="175" fontId="16" fillId="13" borderId="3" xfId="2" applyNumberFormat="1" applyFont="1" applyFill="1" applyBorder="1"/>
    <xf numFmtId="175" fontId="23" fillId="7" borderId="4" xfId="2" applyNumberFormat="1" applyFont="1" applyFill="1" applyBorder="1"/>
    <xf numFmtId="175" fontId="17" fillId="2" borderId="0" xfId="2" applyNumberFormat="1" applyFont="1" applyFill="1"/>
    <xf numFmtId="175" fontId="7" fillId="14" borderId="1" xfId="2" applyNumberFormat="1" applyFont="1" applyFill="1" applyBorder="1"/>
    <xf numFmtId="175" fontId="7" fillId="14" borderId="0" xfId="2" applyNumberFormat="1" applyFont="1" applyFill="1" applyBorder="1"/>
    <xf numFmtId="175" fontId="7" fillId="14" borderId="2" xfId="2" applyNumberFormat="1" applyFont="1" applyFill="1" applyBorder="1"/>
    <xf numFmtId="175" fontId="16" fillId="14" borderId="4" xfId="2" applyNumberFormat="1" applyFont="1" applyFill="1" applyBorder="1"/>
    <xf numFmtId="175" fontId="7" fillId="8" borderId="1" xfId="2" applyNumberFormat="1" applyFont="1" applyFill="1" applyBorder="1"/>
    <xf numFmtId="175" fontId="7" fillId="8" borderId="0" xfId="2" applyNumberFormat="1" applyFont="1" applyFill="1" applyBorder="1"/>
    <xf numFmtId="175" fontId="7" fillId="8" borderId="2" xfId="2" applyNumberFormat="1" applyFont="1" applyFill="1" applyBorder="1"/>
    <xf numFmtId="175" fontId="16" fillId="8" borderId="4" xfId="2" applyNumberFormat="1" applyFont="1" applyFill="1" applyBorder="1"/>
    <xf numFmtId="175" fontId="7" fillId="5" borderId="2" xfId="2" applyNumberFormat="1" applyFont="1" applyFill="1" applyBorder="1"/>
    <xf numFmtId="175" fontId="16" fillId="5" borderId="4" xfId="2" applyNumberFormat="1" applyFont="1" applyFill="1" applyBorder="1"/>
    <xf numFmtId="175" fontId="23" fillId="6" borderId="4" xfId="2" applyNumberFormat="1" applyFont="1" applyFill="1" applyBorder="1"/>
    <xf numFmtId="175" fontId="26" fillId="2" borderId="0" xfId="2" applyNumberFormat="1" applyFont="1" applyFill="1"/>
    <xf numFmtId="175" fontId="28" fillId="4" borderId="1" xfId="2" applyNumberFormat="1" applyFont="1" applyFill="1" applyBorder="1"/>
    <xf numFmtId="175" fontId="28" fillId="4" borderId="0" xfId="2" applyNumberFormat="1" applyFont="1" applyFill="1" applyBorder="1"/>
    <xf numFmtId="175" fontId="28" fillId="4" borderId="2" xfId="2" applyNumberFormat="1" applyFont="1" applyFill="1" applyBorder="1"/>
    <xf numFmtId="175" fontId="16" fillId="12" borderId="3" xfId="2" applyNumberFormat="1" applyFont="1" applyFill="1" applyBorder="1"/>
    <xf numFmtId="175" fontId="36" fillId="4" borderId="3" xfId="2" applyNumberFormat="1" applyFont="1" applyFill="1" applyBorder="1"/>
    <xf numFmtId="175" fontId="35" fillId="14" borderId="4" xfId="2" applyNumberFormat="1" applyFont="1" applyFill="1" applyBorder="1"/>
    <xf numFmtId="175" fontId="27" fillId="2" borderId="0" xfId="2" applyNumberFormat="1" applyFont="1" applyFill="1"/>
    <xf numFmtId="175" fontId="31" fillId="2" borderId="0" xfId="2" applyNumberFormat="1" applyFont="1" applyFill="1"/>
    <xf numFmtId="175" fontId="7" fillId="2" borderId="0" xfId="2" applyNumberFormat="1" applyFont="1" applyFill="1"/>
    <xf numFmtId="175" fontId="7" fillId="16" borderId="1" xfId="2" applyNumberFormat="1" applyFont="1" applyFill="1" applyBorder="1"/>
    <xf numFmtId="175" fontId="7" fillId="16" borderId="0" xfId="2" applyNumberFormat="1" applyFont="1" applyFill="1" applyBorder="1"/>
    <xf numFmtId="175" fontId="7" fillId="16" borderId="2" xfId="2" applyNumberFormat="1" applyFont="1" applyFill="1" applyBorder="1"/>
    <xf numFmtId="175" fontId="7" fillId="17" borderId="3" xfId="2" applyNumberFormat="1" applyFont="1" applyFill="1" applyBorder="1"/>
    <xf numFmtId="175" fontId="7" fillId="16" borderId="3" xfId="2" applyNumberFormat="1" applyFont="1" applyFill="1" applyBorder="1"/>
    <xf numFmtId="9" fontId="19" fillId="5" borderId="0" xfId="4" applyFont="1" applyFill="1" applyBorder="1"/>
    <xf numFmtId="2" fontId="7" fillId="5" borderId="0" xfId="10" applyNumberFormat="1" applyFont="1" applyFill="1" applyBorder="1"/>
    <xf numFmtId="2" fontId="19" fillId="5" borderId="0" xfId="10" applyNumberFormat="1" applyFont="1" applyFill="1" applyBorder="1"/>
    <xf numFmtId="0" fontId="2" fillId="0" borderId="0" xfId="0" applyFont="1"/>
    <xf numFmtId="171" fontId="7" fillId="2" borderId="0" xfId="2" applyNumberFormat="1" applyFont="1" applyFill="1" applyBorder="1"/>
    <xf numFmtId="9" fontId="38" fillId="2" borderId="0" xfId="4" applyFont="1" applyFill="1" applyBorder="1"/>
    <xf numFmtId="171" fontId="16" fillId="2" borderId="0" xfId="2" applyNumberFormat="1" applyFont="1" applyFill="1" applyBorder="1"/>
    <xf numFmtId="165" fontId="16" fillId="5" borderId="3" xfId="2" applyNumberFormat="1" applyFont="1" applyFill="1" applyBorder="1"/>
    <xf numFmtId="165" fontId="16" fillId="2" borderId="3" xfId="2" applyNumberFormat="1" applyFont="1" applyFill="1" applyBorder="1"/>
    <xf numFmtId="171" fontId="16" fillId="2" borderId="3" xfId="2" applyNumberFormat="1" applyFont="1" applyFill="1" applyBorder="1"/>
    <xf numFmtId="165" fontId="16" fillId="10" borderId="3" xfId="2" applyNumberFormat="1" applyFont="1" applyFill="1" applyBorder="1"/>
    <xf numFmtId="44" fontId="0" fillId="0" borderId="0" xfId="10" applyFont="1"/>
    <xf numFmtId="9" fontId="0" fillId="0" borderId="0" xfId="0" applyNumberFormat="1"/>
    <xf numFmtId="44" fontId="0" fillId="0" borderId="0" xfId="0" applyNumberFormat="1"/>
    <xf numFmtId="44" fontId="2" fillId="0" borderId="0" xfId="0" applyNumberFormat="1" applyFont="1"/>
    <xf numFmtId="0" fontId="40" fillId="0" borderId="0" xfId="0" applyFont="1"/>
    <xf numFmtId="9" fontId="0" fillId="0" borderId="0" xfId="4" applyFont="1"/>
    <xf numFmtId="0" fontId="40" fillId="16" borderId="3" xfId="0" applyFont="1" applyFill="1" applyBorder="1"/>
    <xf numFmtId="0" fontId="41" fillId="18" borderId="0" xfId="0" applyFont="1" applyFill="1"/>
    <xf numFmtId="0" fontId="42" fillId="18" borderId="0" xfId="0" applyFont="1" applyFill="1"/>
    <xf numFmtId="0" fontId="40" fillId="14" borderId="0" xfId="0" applyFont="1" applyFill="1"/>
    <xf numFmtId="0" fontId="40" fillId="15" borderId="3" xfId="0" applyFont="1" applyFill="1" applyBorder="1"/>
    <xf numFmtId="0" fontId="40" fillId="0" borderId="1" xfId="0" applyFont="1" applyBorder="1"/>
    <xf numFmtId="44" fontId="40" fillId="0" borderId="1" xfId="0" applyNumberFormat="1" applyFont="1" applyBorder="1"/>
    <xf numFmtId="44" fontId="40" fillId="16" borderId="3" xfId="0" applyNumberFormat="1" applyFont="1" applyFill="1" applyBorder="1"/>
    <xf numFmtId="0" fontId="44" fillId="0" borderId="0" xfId="0" applyFont="1"/>
    <xf numFmtId="0" fontId="41" fillId="19" borderId="0" xfId="0" applyFont="1" applyFill="1" applyAlignment="1">
      <alignment horizontal="left" vertical="center"/>
    </xf>
    <xf numFmtId="0" fontId="41" fillId="19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7" fontId="19" fillId="0" borderId="0" xfId="4" applyNumberFormat="1" applyFont="1" applyFill="1" applyBorder="1"/>
    <xf numFmtId="44" fontId="39" fillId="0" borderId="0" xfId="10" applyFont="1"/>
    <xf numFmtId="44" fontId="40" fillId="15" borderId="3" xfId="0" applyNumberFormat="1" applyFont="1" applyFill="1" applyBorder="1"/>
    <xf numFmtId="0" fontId="45" fillId="20" borderId="0" xfId="0" applyFont="1" applyFill="1"/>
    <xf numFmtId="0" fontId="46" fillId="20" borderId="0" xfId="0" applyFont="1" applyFill="1"/>
    <xf numFmtId="44" fontId="2" fillId="0" borderId="0" xfId="10" applyFont="1" applyFill="1" applyBorder="1"/>
    <xf numFmtId="0" fontId="47" fillId="0" borderId="0" xfId="0" applyFont="1"/>
    <xf numFmtId="44" fontId="47" fillId="0" borderId="0" xfId="10" applyFont="1" applyFill="1" applyBorder="1"/>
    <xf numFmtId="0" fontId="40" fillId="21" borderId="3" xfId="0" applyFont="1" applyFill="1" applyBorder="1"/>
    <xf numFmtId="44" fontId="40" fillId="21" borderId="3" xfId="10" applyFont="1" applyFill="1" applyBorder="1"/>
    <xf numFmtId="9" fontId="2" fillId="0" borderId="0" xfId="0" applyNumberFormat="1" applyFont="1"/>
    <xf numFmtId="44" fontId="40" fillId="21" borderId="3" xfId="0" applyNumberFormat="1" applyFont="1" applyFill="1" applyBorder="1"/>
    <xf numFmtId="167" fontId="7" fillId="2" borderId="0" xfId="4" applyNumberFormat="1" applyFont="1" applyFill="1"/>
    <xf numFmtId="10" fontId="2" fillId="0" borderId="0" xfId="0" applyNumberFormat="1" applyFont="1"/>
    <xf numFmtId="44" fontId="40" fillId="0" borderId="0" xfId="0" applyNumberFormat="1" applyFont="1" applyBorder="1"/>
    <xf numFmtId="165" fontId="7" fillId="19" borderId="0" xfId="2" applyNumberFormat="1" applyFont="1" applyFill="1"/>
    <xf numFmtId="164" fontId="23" fillId="18" borderId="0" xfId="2" applyFont="1" applyFill="1"/>
    <xf numFmtId="165" fontId="24" fillId="18" borderId="0" xfId="2" applyNumberFormat="1" applyFont="1" applyFill="1"/>
    <xf numFmtId="164" fontId="23" fillId="0" borderId="0" xfId="2" applyFont="1" applyFill="1"/>
    <xf numFmtId="165" fontId="24" fillId="0" borderId="0" xfId="2" applyNumberFormat="1" applyFont="1" applyFill="1"/>
    <xf numFmtId="164" fontId="7" fillId="0" borderId="1" xfId="2" applyFont="1" applyFill="1" applyBorder="1"/>
    <xf numFmtId="165" fontId="7" fillId="0" borderId="1" xfId="2" applyNumberFormat="1" applyFont="1" applyFill="1" applyBorder="1"/>
    <xf numFmtId="9" fontId="7" fillId="0" borderId="1" xfId="4" applyFont="1" applyFill="1" applyBorder="1"/>
    <xf numFmtId="165" fontId="7" fillId="0" borderId="0" xfId="2" applyNumberFormat="1" applyFont="1" applyFill="1"/>
    <xf numFmtId="164" fontId="7" fillId="0" borderId="2" xfId="2" applyFont="1" applyFill="1" applyBorder="1"/>
    <xf numFmtId="165" fontId="31" fillId="0" borderId="2" xfId="2" applyNumberFormat="1" applyFont="1" applyFill="1" applyBorder="1"/>
    <xf numFmtId="165" fontId="7" fillId="0" borderId="2" xfId="2" applyNumberFormat="1" applyFont="1" applyFill="1" applyBorder="1"/>
    <xf numFmtId="173" fontId="7" fillId="0" borderId="2" xfId="2" applyNumberFormat="1" applyFont="1" applyFill="1" applyBorder="1"/>
    <xf numFmtId="9" fontId="48" fillId="0" borderId="1" xfId="4" applyFont="1" applyFill="1" applyBorder="1"/>
    <xf numFmtId="164" fontId="7" fillId="0" borderId="0" xfId="2" applyFont="1" applyFill="1" applyBorder="1"/>
    <xf numFmtId="165" fontId="31" fillId="0" borderId="0" xfId="2" applyNumberFormat="1" applyFont="1" applyFill="1" applyBorder="1"/>
    <xf numFmtId="165" fontId="7" fillId="0" borderId="0" xfId="2" applyNumberFormat="1" applyFont="1" applyFill="1" applyBorder="1"/>
    <xf numFmtId="173" fontId="7" fillId="0" borderId="0" xfId="2" applyNumberFormat="1" applyFont="1" applyFill="1" applyBorder="1"/>
    <xf numFmtId="9" fontId="48" fillId="2" borderId="1" xfId="4" applyFont="1" applyFill="1" applyBorder="1"/>
    <xf numFmtId="165" fontId="48" fillId="2" borderId="0" xfId="2" applyNumberFormat="1" applyFont="1" applyFill="1"/>
    <xf numFmtId="164" fontId="28" fillId="0" borderId="1" xfId="2" applyFont="1" applyFill="1" applyBorder="1"/>
    <xf numFmtId="165" fontId="17" fillId="0" borderId="1" xfId="2" applyNumberFormat="1" applyFont="1" applyFill="1" applyBorder="1"/>
    <xf numFmtId="9" fontId="28" fillId="0" borderId="1" xfId="4" applyFont="1" applyFill="1" applyBorder="1"/>
    <xf numFmtId="164" fontId="16" fillId="0" borderId="0" xfId="2" applyFont="1" applyFill="1" applyBorder="1"/>
    <xf numFmtId="165" fontId="35" fillId="0" borderId="0" xfId="2" applyNumberFormat="1" applyFont="1" applyFill="1" applyBorder="1"/>
    <xf numFmtId="165" fontId="16" fillId="0" borderId="0" xfId="2" applyNumberFormat="1" applyFont="1" applyFill="1" applyBorder="1"/>
    <xf numFmtId="173" fontId="16" fillId="0" borderId="0" xfId="2" applyNumberFormat="1" applyFont="1" applyFill="1" applyBorder="1"/>
    <xf numFmtId="165" fontId="16" fillId="0" borderId="0" xfId="2" applyNumberFormat="1" applyFont="1" applyFill="1"/>
    <xf numFmtId="165" fontId="17" fillId="0" borderId="0" xfId="2" applyNumberFormat="1" applyFont="1" applyFill="1" applyBorder="1"/>
    <xf numFmtId="9" fontId="7" fillId="0" borderId="0" xfId="4" applyFont="1" applyFill="1" applyBorder="1"/>
    <xf numFmtId="165" fontId="32" fillId="0" borderId="0" xfId="2" applyNumberFormat="1" applyFont="1" applyFill="1" applyBorder="1"/>
    <xf numFmtId="9" fontId="16" fillId="0" borderId="0" xfId="4" applyFont="1" applyFill="1" applyBorder="1"/>
    <xf numFmtId="164" fontId="16" fillId="0" borderId="3" xfId="2" applyFont="1" applyFill="1" applyBorder="1"/>
    <xf numFmtId="165" fontId="32" fillId="0" borderId="3" xfId="2" applyNumberFormat="1" applyFont="1" applyFill="1" applyBorder="1"/>
    <xf numFmtId="165" fontId="16" fillId="0" borderId="3" xfId="2" applyNumberFormat="1" applyFont="1" applyFill="1" applyBorder="1"/>
    <xf numFmtId="9" fontId="38" fillId="2" borderId="1" xfId="4" applyFont="1" applyFill="1" applyBorder="1"/>
    <xf numFmtId="171" fontId="16" fillId="2" borderId="1" xfId="2" applyNumberFormat="1" applyFont="1" applyFill="1" applyBorder="1"/>
    <xf numFmtId="171" fontId="7" fillId="0" borderId="0" xfId="2" applyNumberFormat="1" applyFont="1" applyFill="1" applyBorder="1"/>
    <xf numFmtId="171" fontId="7" fillId="0" borderId="2" xfId="2" applyNumberFormat="1" applyFont="1" applyFill="1" applyBorder="1"/>
    <xf numFmtId="167" fontId="48" fillId="0" borderId="0" xfId="4" applyNumberFormat="1" applyFont="1" applyFill="1" applyBorder="1"/>
    <xf numFmtId="165" fontId="28" fillId="0" borderId="2" xfId="2" applyNumberFormat="1" applyFont="1" applyFill="1" applyBorder="1"/>
    <xf numFmtId="165" fontId="28" fillId="0" borderId="0" xfId="2" applyNumberFormat="1" applyFont="1" applyFill="1" applyBorder="1"/>
    <xf numFmtId="165" fontId="16" fillId="15" borderId="3" xfId="2" applyNumberFormat="1" applyFont="1" applyFill="1" applyBorder="1"/>
    <xf numFmtId="172" fontId="16" fillId="15" borderId="3" xfId="2" applyNumberFormat="1" applyFont="1" applyFill="1" applyBorder="1"/>
    <xf numFmtId="165" fontId="26" fillId="15" borderId="0" xfId="2" applyNumberFormat="1" applyFont="1" applyFill="1"/>
    <xf numFmtId="165" fontId="7" fillId="15" borderId="0" xfId="2" applyNumberFormat="1" applyFont="1" applyFill="1"/>
    <xf numFmtId="0" fontId="40" fillId="0" borderId="0" xfId="0" applyFont="1" applyFill="1"/>
    <xf numFmtId="0" fontId="0" fillId="0" borderId="0" xfId="0" applyFill="1"/>
    <xf numFmtId="9" fontId="19" fillId="0" borderId="1" xfId="4" applyFont="1" applyFill="1" applyBorder="1"/>
    <xf numFmtId="171" fontId="16" fillId="0" borderId="0" xfId="2" applyNumberFormat="1" applyFont="1" applyFill="1" applyBorder="1"/>
    <xf numFmtId="171" fontId="16" fillId="0" borderId="3" xfId="2" applyNumberFormat="1" applyFont="1" applyFill="1" applyBorder="1"/>
    <xf numFmtId="174" fontId="7" fillId="0" borderId="0" xfId="2" applyNumberFormat="1" applyFont="1" applyFill="1" applyBorder="1"/>
    <xf numFmtId="9" fontId="48" fillId="0" borderId="0" xfId="4" applyFont="1" applyFill="1" applyBorder="1"/>
    <xf numFmtId="164" fontId="28" fillId="0" borderId="0" xfId="2" applyFont="1" applyFill="1" applyBorder="1"/>
    <xf numFmtId="9" fontId="28" fillId="0" borderId="0" xfId="4" applyFont="1" applyFill="1" applyBorder="1"/>
    <xf numFmtId="9" fontId="48" fillId="2" borderId="0" xfId="4" applyFont="1" applyFill="1" applyBorder="1"/>
    <xf numFmtId="165" fontId="16" fillId="0" borderId="0" xfId="4" applyNumberFormat="1" applyFont="1" applyFill="1" applyBorder="1"/>
    <xf numFmtId="9" fontId="19" fillId="0" borderId="0" xfId="4" applyFont="1" applyFill="1" applyBorder="1"/>
    <xf numFmtId="164" fontId="16" fillId="0" borderId="1" xfId="2" applyFont="1" applyFill="1" applyBorder="1"/>
    <xf numFmtId="165" fontId="16" fillId="0" borderId="1" xfId="2" applyNumberFormat="1" applyFont="1" applyFill="1" applyBorder="1"/>
    <xf numFmtId="165" fontId="16" fillId="0" borderId="2" xfId="2" applyNumberFormat="1" applyFont="1" applyFill="1" applyBorder="1"/>
    <xf numFmtId="165" fontId="17" fillId="0" borderId="0" xfId="2" applyNumberFormat="1" applyFont="1" applyFill="1"/>
    <xf numFmtId="165" fontId="16" fillId="16" borderId="3" xfId="2" applyNumberFormat="1" applyFont="1" applyFill="1" applyBorder="1"/>
    <xf numFmtId="173" fontId="16" fillId="16" borderId="3" xfId="2" applyNumberFormat="1" applyFont="1" applyFill="1" applyBorder="1"/>
    <xf numFmtId="165" fontId="26" fillId="16" borderId="0" xfId="2" applyNumberFormat="1" applyFont="1" applyFill="1"/>
    <xf numFmtId="165" fontId="7" fillId="16" borderId="0" xfId="2" applyNumberFormat="1" applyFont="1" applyFill="1"/>
    <xf numFmtId="165" fontId="16" fillId="15" borderId="0" xfId="2" applyNumberFormat="1" applyFont="1" applyFill="1" applyBorder="1"/>
    <xf numFmtId="165" fontId="28" fillId="2" borderId="0" xfId="2" applyNumberFormat="1" applyFont="1" applyFill="1" applyBorder="1"/>
    <xf numFmtId="165" fontId="28" fillId="2" borderId="0" xfId="2" applyNumberFormat="1" applyFont="1" applyFill="1"/>
    <xf numFmtId="171" fontId="28" fillId="0" borderId="0" xfId="2" applyNumberFormat="1" applyFont="1" applyFill="1" applyBorder="1"/>
    <xf numFmtId="165" fontId="36" fillId="2" borderId="0" xfId="2" applyNumberFormat="1" applyFont="1" applyFill="1" applyBorder="1"/>
    <xf numFmtId="9" fontId="16" fillId="16" borderId="3" xfId="4" applyFont="1" applyFill="1" applyBorder="1"/>
    <xf numFmtId="167" fontId="16" fillId="16" borderId="3" xfId="4" applyNumberFormat="1" applyFont="1" applyFill="1" applyBorder="1"/>
    <xf numFmtId="167" fontId="48" fillId="16" borderId="3" xfId="4" applyNumberFormat="1" applyFont="1" applyFill="1" applyBorder="1"/>
    <xf numFmtId="165" fontId="7" fillId="0" borderId="3" xfId="2" applyNumberFormat="1" applyFont="1" applyFill="1" applyBorder="1"/>
    <xf numFmtId="175" fontId="7" fillId="0" borderId="3" xfId="2" applyNumberFormat="1" applyFont="1" applyFill="1" applyBorder="1"/>
    <xf numFmtId="171" fontId="16" fillId="0" borderId="1" xfId="2" applyNumberFormat="1" applyFont="1" applyFill="1" applyBorder="1"/>
    <xf numFmtId="165" fontId="16" fillId="22" borderId="0" xfId="2" applyNumberFormat="1" applyFont="1" applyFill="1"/>
    <xf numFmtId="165" fontId="7" fillId="22" borderId="0" xfId="2" applyNumberFormat="1" applyFont="1" applyFill="1"/>
    <xf numFmtId="165" fontId="16" fillId="5" borderId="0" xfId="2" applyNumberFormat="1" applyFont="1" applyFill="1" applyBorder="1"/>
    <xf numFmtId="165" fontId="16" fillId="22" borderId="3" xfId="2" applyNumberFormat="1" applyFont="1" applyFill="1" applyBorder="1"/>
    <xf numFmtId="173" fontId="16" fillId="22" borderId="3" xfId="2" applyNumberFormat="1" applyFont="1" applyFill="1" applyBorder="1"/>
    <xf numFmtId="172" fontId="16" fillId="22" borderId="3" xfId="2" applyNumberFormat="1" applyFont="1" applyFill="1" applyBorder="1"/>
    <xf numFmtId="165" fontId="26" fillId="22" borderId="0" xfId="2" applyNumberFormat="1" applyFont="1" applyFill="1"/>
    <xf numFmtId="172" fontId="16" fillId="5" borderId="3" xfId="2" applyNumberFormat="1" applyFont="1" applyFill="1" applyBorder="1"/>
    <xf numFmtId="165" fontId="26" fillId="5" borderId="0" xfId="2" applyNumberFormat="1" applyFont="1" applyFill="1"/>
    <xf numFmtId="165" fontId="16" fillId="23" borderId="0" xfId="2" applyNumberFormat="1" applyFont="1" applyFill="1" applyBorder="1"/>
    <xf numFmtId="165" fontId="7" fillId="23" borderId="0" xfId="2" applyNumberFormat="1" applyFont="1" applyFill="1"/>
    <xf numFmtId="165" fontId="16" fillId="23" borderId="3" xfId="2" applyNumberFormat="1" applyFont="1" applyFill="1" applyBorder="1"/>
    <xf numFmtId="172" fontId="16" fillId="23" borderId="3" xfId="2" applyNumberFormat="1" applyFont="1" applyFill="1" applyBorder="1"/>
    <xf numFmtId="165" fontId="26" fillId="23" borderId="0" xfId="2" applyNumberFormat="1" applyFont="1" applyFill="1"/>
    <xf numFmtId="165" fontId="7" fillId="3" borderId="0" xfId="2" applyNumberFormat="1" applyFont="1" applyFill="1"/>
    <xf numFmtId="165" fontId="16" fillId="3" borderId="0" xfId="2" applyNumberFormat="1" applyFont="1" applyFill="1"/>
    <xf numFmtId="165" fontId="48" fillId="3" borderId="0" xfId="2" applyNumberFormat="1" applyFont="1" applyFill="1"/>
    <xf numFmtId="165" fontId="16" fillId="3" borderId="3" xfId="2" applyNumberFormat="1" applyFont="1" applyFill="1" applyBorder="1"/>
    <xf numFmtId="173" fontId="16" fillId="3" borderId="3" xfId="2" applyNumberFormat="1" applyFont="1" applyFill="1" applyBorder="1"/>
    <xf numFmtId="172" fontId="16" fillId="3" borderId="3" xfId="2" applyNumberFormat="1" applyFont="1" applyFill="1" applyBorder="1"/>
    <xf numFmtId="165" fontId="26" fillId="3" borderId="0" xfId="2" applyNumberFormat="1" applyFont="1" applyFill="1"/>
    <xf numFmtId="165" fontId="48" fillId="22" borderId="0" xfId="2" applyNumberFormat="1" applyFont="1" applyFill="1"/>
    <xf numFmtId="0" fontId="2" fillId="25" borderId="0" xfId="0" applyFont="1" applyFill="1"/>
    <xf numFmtId="165" fontId="16" fillId="15" borderId="0" xfId="2" applyNumberFormat="1" applyFont="1" applyFill="1"/>
    <xf numFmtId="165" fontId="48" fillId="15" borderId="0" xfId="2" applyNumberFormat="1" applyFont="1" applyFill="1"/>
    <xf numFmtId="0" fontId="0" fillId="15" borderId="0" xfId="0" applyFill="1"/>
    <xf numFmtId="165" fontId="48" fillId="0" borderId="0" xfId="2" applyNumberFormat="1" applyFont="1" applyFill="1"/>
    <xf numFmtId="165" fontId="16" fillId="22" borderId="0" xfId="2" applyNumberFormat="1" applyFont="1" applyFill="1" applyBorder="1"/>
    <xf numFmtId="165" fontId="16" fillId="3" borderId="0" xfId="2" applyNumberFormat="1" applyFont="1" applyFill="1" applyBorder="1"/>
    <xf numFmtId="165" fontId="16" fillId="5" borderId="0" xfId="2" applyNumberFormat="1" applyFont="1" applyFill="1"/>
    <xf numFmtId="165" fontId="48" fillId="5" borderId="0" xfId="2" applyNumberFormat="1" applyFont="1" applyFill="1"/>
    <xf numFmtId="165" fontId="16" fillId="23" borderId="0" xfId="2" applyNumberFormat="1" applyFont="1" applyFill="1"/>
    <xf numFmtId="165" fontId="7" fillId="14" borderId="0" xfId="2" applyNumberFormat="1" applyFont="1" applyFill="1"/>
    <xf numFmtId="165" fontId="48" fillId="23" borderId="0" xfId="2" applyNumberFormat="1" applyFont="1" applyFill="1"/>
    <xf numFmtId="0" fontId="2" fillId="15" borderId="0" xfId="0" applyFont="1" applyFill="1"/>
    <xf numFmtId="165" fontId="24" fillId="15" borderId="0" xfId="2" applyNumberFormat="1" applyFont="1" applyFill="1"/>
    <xf numFmtId="165" fontId="16" fillId="10" borderId="0" xfId="2" applyNumberFormat="1" applyFont="1" applyFill="1"/>
    <xf numFmtId="165" fontId="48" fillId="10" borderId="0" xfId="2" applyNumberFormat="1" applyFont="1" applyFill="1"/>
    <xf numFmtId="165" fontId="7" fillId="10" borderId="0" xfId="2" applyNumberFormat="1" applyFont="1" applyFill="1"/>
    <xf numFmtId="175" fontId="16" fillId="10" borderId="3" xfId="2" applyNumberFormat="1" applyFont="1" applyFill="1" applyBorder="1"/>
    <xf numFmtId="165" fontId="24" fillId="25" borderId="0" xfId="2" applyNumberFormat="1" applyFont="1" applyFill="1"/>
    <xf numFmtId="165" fontId="8" fillId="15" borderId="0" xfId="2" applyNumberFormat="1" applyFont="1" applyFill="1"/>
    <xf numFmtId="167" fontId="48" fillId="0" borderId="3" xfId="4" applyNumberFormat="1" applyFont="1" applyFill="1" applyBorder="1"/>
    <xf numFmtId="165" fontId="7" fillId="3" borderId="0" xfId="2" applyNumberFormat="1" applyFont="1" applyFill="1" applyBorder="1"/>
    <xf numFmtId="165" fontId="16" fillId="24" borderId="2" xfId="2" applyNumberFormat="1" applyFont="1" applyFill="1" applyBorder="1"/>
    <xf numFmtId="165" fontId="16" fillId="26" borderId="2" xfId="2" applyNumberFormat="1" applyFont="1" applyFill="1" applyBorder="1"/>
    <xf numFmtId="165" fontId="16" fillId="27" borderId="2" xfId="2" applyNumberFormat="1" applyFont="1" applyFill="1" applyBorder="1"/>
    <xf numFmtId="165" fontId="16" fillId="28" borderId="2" xfId="2" applyNumberFormat="1" applyFont="1" applyFill="1" applyBorder="1"/>
    <xf numFmtId="165" fontId="7" fillId="4" borderId="0" xfId="2" applyNumberFormat="1" applyFont="1" applyFill="1"/>
    <xf numFmtId="165" fontId="16" fillId="4" borderId="0" xfId="2" applyNumberFormat="1" applyFont="1" applyFill="1"/>
    <xf numFmtId="165" fontId="16" fillId="4" borderId="3" xfId="2" applyNumberFormat="1" applyFont="1" applyFill="1" applyBorder="1"/>
    <xf numFmtId="175" fontId="16" fillId="4" borderId="3" xfId="2" applyNumberFormat="1" applyFont="1" applyFill="1" applyBorder="1"/>
    <xf numFmtId="175" fontId="7" fillId="0" borderId="1" xfId="2" applyNumberFormat="1" applyFont="1" applyFill="1" applyBorder="1"/>
    <xf numFmtId="165" fontId="7" fillId="19" borderId="0" xfId="2" applyNumberFormat="1" applyFont="1" applyFill="1" applyBorder="1"/>
    <xf numFmtId="165" fontId="25" fillId="19" borderId="0" xfId="2" applyNumberFormat="1" applyFont="1" applyFill="1" applyBorder="1"/>
    <xf numFmtId="0" fontId="23" fillId="19" borderId="0" xfId="2" applyNumberFormat="1" applyFont="1" applyFill="1" applyBorder="1" applyAlignment="1">
      <alignment horizontal="center"/>
    </xf>
    <xf numFmtId="165" fontId="23" fillId="19" borderId="0" xfId="2" applyNumberFormat="1" applyFont="1" applyFill="1" applyBorder="1" applyAlignment="1"/>
    <xf numFmtId="165" fontId="23" fillId="29" borderId="0" xfId="2" applyNumberFormat="1" applyFont="1" applyFill="1" applyBorder="1" applyAlignment="1"/>
    <xf numFmtId="165" fontId="7" fillId="29" borderId="0" xfId="2" applyNumberFormat="1" applyFont="1" applyFill="1" applyBorder="1"/>
    <xf numFmtId="165" fontId="16" fillId="13" borderId="2" xfId="2" applyNumberFormat="1" applyFont="1" applyFill="1" applyBorder="1"/>
    <xf numFmtId="165" fontId="16" fillId="11" borderId="0" xfId="2" applyNumberFormat="1" applyFont="1" applyFill="1"/>
    <xf numFmtId="165" fontId="7" fillId="11" borderId="0" xfId="2" applyNumberFormat="1" applyFont="1" applyFill="1"/>
    <xf numFmtId="165" fontId="48" fillId="11" borderId="0" xfId="2" applyNumberFormat="1" applyFont="1" applyFill="1"/>
    <xf numFmtId="165" fontId="16" fillId="11" borderId="0" xfId="2" applyNumberFormat="1" applyFont="1" applyFill="1" applyBorder="1"/>
    <xf numFmtId="165" fontId="16" fillId="11" borderId="3" xfId="2" applyNumberFormat="1" applyFont="1" applyFill="1" applyBorder="1"/>
    <xf numFmtId="172" fontId="16" fillId="11" borderId="3" xfId="2" applyNumberFormat="1" applyFont="1" applyFill="1" applyBorder="1"/>
    <xf numFmtId="176" fontId="48" fillId="0" borderId="0" xfId="4" applyNumberFormat="1" applyFont="1" applyFill="1" applyBorder="1"/>
    <xf numFmtId="176" fontId="7" fillId="0" borderId="0" xfId="4" applyNumberFormat="1" applyFont="1" applyFill="1" applyBorder="1"/>
    <xf numFmtId="165" fontId="16" fillId="0" borderId="1" xfId="4" applyNumberFormat="1" applyFont="1" applyFill="1" applyBorder="1"/>
    <xf numFmtId="165" fontId="8" fillId="2" borderId="2" xfId="2" applyNumberFormat="1" applyFont="1" applyFill="1" applyBorder="1"/>
    <xf numFmtId="165" fontId="35" fillId="0" borderId="3" xfId="2" applyNumberFormat="1" applyFont="1" applyFill="1" applyBorder="1"/>
    <xf numFmtId="9" fontId="16" fillId="0" borderId="3" xfId="4" applyFont="1" applyFill="1" applyBorder="1"/>
    <xf numFmtId="164" fontId="16" fillId="11" borderId="3" xfId="2" applyFont="1" applyFill="1" applyBorder="1"/>
    <xf numFmtId="171" fontId="16" fillId="11" borderId="3" xfId="2" applyNumberFormat="1" applyFont="1" applyFill="1" applyBorder="1"/>
    <xf numFmtId="167" fontId="16" fillId="11" borderId="3" xfId="4" applyNumberFormat="1" applyFont="1" applyFill="1" applyBorder="1"/>
    <xf numFmtId="165" fontId="16" fillId="16" borderId="0" xfId="2" applyNumberFormat="1" applyFont="1" applyFill="1" applyBorder="1"/>
    <xf numFmtId="164" fontId="16" fillId="16" borderId="3" xfId="2" applyFont="1" applyFill="1" applyBorder="1"/>
    <xf numFmtId="165" fontId="35" fillId="16" borderId="3" xfId="2" applyNumberFormat="1" applyFont="1" applyFill="1" applyBorder="1"/>
    <xf numFmtId="171" fontId="16" fillId="16" borderId="3" xfId="2" applyNumberFormat="1" applyFont="1" applyFill="1" applyBorder="1"/>
    <xf numFmtId="172" fontId="16" fillId="0" borderId="0" xfId="2" applyNumberFormat="1" applyFont="1" applyFill="1" applyBorder="1"/>
    <xf numFmtId="165" fontId="24" fillId="0" borderId="0" xfId="2" applyNumberFormat="1" applyFont="1" applyFill="1" applyBorder="1"/>
    <xf numFmtId="2" fontId="48" fillId="0" borderId="0" xfId="4" applyNumberFormat="1" applyFont="1" applyFill="1" applyBorder="1"/>
    <xf numFmtId="165" fontId="50" fillId="15" borderId="0" xfId="2" applyNumberFormat="1" applyFont="1" applyFill="1"/>
    <xf numFmtId="165" fontId="51" fillId="15" borderId="0" xfId="2" applyNumberFormat="1" applyFont="1" applyFill="1"/>
    <xf numFmtId="165" fontId="52" fillId="15" borderId="0" xfId="2" applyNumberFormat="1" applyFont="1" applyFill="1"/>
    <xf numFmtId="165" fontId="51" fillId="15" borderId="0" xfId="2" applyNumberFormat="1" applyFont="1" applyFill="1" applyBorder="1"/>
    <xf numFmtId="165" fontId="7" fillId="25" borderId="0" xfId="2" applyNumberFormat="1" applyFont="1" applyFill="1"/>
    <xf numFmtId="165" fontId="16" fillId="25" borderId="3" xfId="2" applyNumberFormat="1" applyFont="1" applyFill="1" applyBorder="1"/>
    <xf numFmtId="172" fontId="16" fillId="25" borderId="3" xfId="2" applyNumberFormat="1" applyFont="1" applyFill="1" applyBorder="1"/>
    <xf numFmtId="165" fontId="17" fillId="15" borderId="0" xfId="2" applyNumberFormat="1" applyFont="1" applyFill="1"/>
    <xf numFmtId="165" fontId="7" fillId="16" borderId="0" xfId="2" applyNumberFormat="1" applyFont="1" applyFill="1" applyBorder="1"/>
    <xf numFmtId="164" fontId="7" fillId="16" borderId="0" xfId="2" applyFont="1" applyFill="1" applyBorder="1"/>
    <xf numFmtId="9" fontId="7" fillId="16" borderId="0" xfId="4" applyFont="1" applyFill="1" applyBorder="1"/>
    <xf numFmtId="2" fontId="48" fillId="16" borderId="0" xfId="4" applyNumberFormat="1" applyFont="1" applyFill="1" applyBorder="1"/>
    <xf numFmtId="165" fontId="16" fillId="14" borderId="0" xfId="2" applyNumberFormat="1" applyFont="1" applyFill="1"/>
    <xf numFmtId="164" fontId="16" fillId="16" borderId="0" xfId="2" applyFont="1" applyFill="1" applyBorder="1"/>
    <xf numFmtId="171" fontId="16" fillId="16" borderId="0" xfId="2" applyNumberFormat="1" applyFont="1" applyFill="1" applyBorder="1"/>
    <xf numFmtId="167" fontId="48" fillId="16" borderId="0" xfId="4" applyNumberFormat="1" applyFont="1" applyFill="1" applyBorder="1"/>
    <xf numFmtId="167" fontId="0" fillId="0" borderId="0" xfId="4" applyNumberFormat="1" applyFont="1"/>
    <xf numFmtId="44" fontId="47" fillId="0" borderId="0" xfId="11" applyFont="1" applyFill="1" applyBorder="1"/>
    <xf numFmtId="44" fontId="40" fillId="21" borderId="3" xfId="11" applyFont="1" applyFill="1" applyBorder="1"/>
    <xf numFmtId="44" fontId="0" fillId="0" borderId="0" xfId="11" applyFont="1" applyFill="1" applyBorder="1"/>
    <xf numFmtId="10" fontId="7" fillId="16" borderId="0" xfId="4" applyNumberFormat="1" applyFont="1" applyFill="1" applyBorder="1"/>
    <xf numFmtId="165" fontId="6" fillId="6" borderId="1" xfId="2" applyNumberFormat="1" applyFont="1" applyFill="1" applyBorder="1" applyAlignment="1">
      <alignment horizontal="center"/>
    </xf>
    <xf numFmtId="165" fontId="49" fillId="19" borderId="0" xfId="2" applyNumberFormat="1" applyFont="1" applyFill="1" applyBorder="1" applyAlignment="1">
      <alignment horizontal="center"/>
    </xf>
    <xf numFmtId="165" fontId="23" fillId="19" borderId="0" xfId="2" applyNumberFormat="1" applyFont="1" applyFill="1" applyBorder="1" applyAlignment="1">
      <alignment horizontal="center"/>
    </xf>
  </cellXfs>
  <cellStyles count="12">
    <cellStyle name="Comma" xfId="2" builtinId="3"/>
    <cellStyle name="Currency" xfId="10" builtinId="4"/>
    <cellStyle name="Currency 2" xfId="11" xr:uid="{841258A4-5D6C-F04A-9290-45A2D8590855}"/>
    <cellStyle name="Euro" xfId="1" xr:uid="{00000000-0005-0000-0000-000000000000}"/>
    <cellStyle name="Millares 2" xfId="6" xr:uid="{00000000-0005-0000-0000-000002000000}"/>
    <cellStyle name="Moneda0" xfId="3" xr:uid="{00000000-0005-0000-0000-000003000000}"/>
    <cellStyle name="Normal" xfId="0" builtinId="0"/>
    <cellStyle name="Normal 2" xfId="8" xr:uid="{00000000-0005-0000-0000-000005000000}"/>
    <cellStyle name="Percent" xfId="4" builtinId="5"/>
    <cellStyle name="Porcentaje 2" xfId="9" xr:uid="{00000000-0005-0000-0000-000007000000}"/>
    <cellStyle name="Porcentual 2" xfId="7" xr:uid="{00000000-0005-0000-0000-000008000000}"/>
    <cellStyle name="Punto0" xfId="5" xr:uid="{00000000-0005-0000-0000-000009000000}"/>
  </cellStyles>
  <dxfs count="0"/>
  <tableStyles count="0" defaultTableStyle="TableStyleMedium9" defaultPivotStyle="PivotStyleLight16"/>
  <colors>
    <mruColors>
      <color rgb="FF0000FF"/>
      <color rgb="FFFFFF00"/>
      <color rgb="FFFFFFCC"/>
      <color rgb="FFFF66FF"/>
      <color rgb="FFFFFFFF"/>
      <color rgb="FF00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5" Type="http://schemas.openxmlformats.org/officeDocument/2006/relationships/externalLink" Target="externalLinks/externalLink1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50800</xdr:colOff>
      <xdr:row>5</xdr:row>
      <xdr:rowOff>152400</xdr:rowOff>
    </xdr:from>
    <xdr:to>
      <xdr:col>8</xdr:col>
      <xdr:colOff>778731</xdr:colOff>
      <xdr:row>58</xdr:row>
      <xdr:rowOff>76199</xdr:rowOff>
    </xdr:to>
    <xdr:pic>
      <xdr:nvPicPr>
        <xdr:cNvPr id="4" name="Picture 3" descr="A close up of a map&#10;&#10;Description automatically generated">
          <a:extLst>
            <a:ext uri="{FF2B5EF4-FFF2-40B4-BE49-F238E27FC236}">
              <a16:creationId xmlns:a16="http://schemas.microsoft.com/office/drawing/2014/main" id="{4D260FE5-9AA6-2E4B-8C3E-48E65B83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800" y="1143000"/>
          <a:ext cx="9236931" cy="9829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49</xdr:col>
      <xdr:colOff>673100</xdr:colOff>
      <xdr:row>5</xdr:row>
      <xdr:rowOff>50800</xdr:rowOff>
    </xdr:from>
    <xdr:to>
      <xdr:col>59</xdr:col>
      <xdr:colOff>190500</xdr:colOff>
      <xdr:row>58</xdr:row>
      <xdr:rowOff>158412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E7362-2189-6E4F-A2BC-2FDBA94F0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00" y="1028700"/>
          <a:ext cx="7772400" cy="87055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Trabajos/Area%20II/Monarca/Modelos/Ajustes%20con%20Fernando%20Gallino/WINDOWS/TEMP/Mis%20documentos/PROYECCI/DMSA/NUEEMS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Trabajos/Area%20II/Monarca/Modelos/Ajustes%20con%20Fernando%20Gallino/WINDOWS/TEMP/Mis%20documentos/Acciones/Holding/T&amp;D/T&amp;D-408'presupuest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axi%204-3-2002/WINDOWS/TEMP/Concesionarias/Automund/Flujos/MODBON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/Mis%20documentos/JPERALTA/AGROINDUSTRIA/temas%20especiales/INFO%20fky/EOAF/EOAF%20TITTARELLI%2031.10.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ANTE/Adm.%20Ventas/Mis%20documentos/JPERALTA/AGROINDUSTRIA/temas%20especiales/INFO%20fky/EOAF/EOAF%20TITTARELLI%2031.10.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ittarellivosa.com.ar/Mis%20documentos/JPERALTA/AGROINDUSTRIA/temas%20especiales/INFO%20fky/EOAF/EOAF%20TITTARELLI%2031.10.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EDERICO/Desktop/Trabajos/Area%20II/IRSA/San%20Mart&#237;n/Residencial'17/ETAPA%202/181019%20-%20Business%20Case%20Residencial%201%20(MCCA%201)%20-%20Preventa%204%20Edifici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FEDERICO/Desktop/Trabajos/Area%20II/IRSA/San%20Mart&#237;n/Residencial'17/ETAPA%202/Anteproyecto/Varios/MMCK%20-%20San%20Mart&#237;n%20-%20Reparticion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gustinkluz/Desktop/Trabajo%20Final%202020/Modelos/Business%20Case%20Residencial%201%20(MCCA)%20-%20Preventa%204%20Edifici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</sheetNames>
    <sheetDataSet>
      <sheetData sheetId="0" refreshError="1">
        <row r="74">
          <cell r="B74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"/>
      <sheetName val="Gastos"/>
      <sheetName val="Impuestos"/>
      <sheetName val="Hoja2"/>
      <sheetName val="Presup"/>
      <sheetName val="Hoja1"/>
      <sheetName val="CF"/>
      <sheetName val="Gráfico2"/>
      <sheetName val="Terrenos"/>
      <sheetName val="Costos Proyectos"/>
      <sheetName val="PlanTrabajos"/>
      <sheetName val="Ctotal1"/>
      <sheetName val="Computo Obra Vial"/>
      <sheetName val="datos"/>
      <sheetName val="Precios Obra Vial"/>
      <sheetName val="Redes"/>
      <sheetName val="avance obra"/>
      <sheetName val="PTBANDAS"/>
    </sheetNames>
    <sheetDataSet>
      <sheetData sheetId="0"/>
      <sheetData sheetId="1"/>
      <sheetData sheetId="2"/>
      <sheetData sheetId="3"/>
      <sheetData sheetId="4" refreshError="1">
        <row r="31">
          <cell r="A31">
            <v>770</v>
          </cell>
          <cell r="B31">
            <v>872</v>
          </cell>
        </row>
        <row r="32">
          <cell r="B32">
            <v>5</v>
          </cell>
        </row>
      </sheetData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>
        <row r="25">
          <cell r="B25">
            <v>150</v>
          </cell>
        </row>
        <row r="27">
          <cell r="B27">
            <v>95</v>
          </cell>
        </row>
        <row r="64">
          <cell r="B64">
            <v>50</v>
          </cell>
        </row>
        <row r="68">
          <cell r="B68">
            <v>10</v>
          </cell>
        </row>
        <row r="71">
          <cell r="B71">
            <v>11</v>
          </cell>
        </row>
        <row r="72">
          <cell r="B72">
            <v>0</v>
          </cell>
        </row>
        <row r="73">
          <cell r="B73">
            <v>10</v>
          </cell>
        </row>
        <row r="74">
          <cell r="B74">
            <v>10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85">
          <cell r="B85">
            <v>7.0000000000000007E-2</v>
          </cell>
        </row>
        <row r="86">
          <cell r="B86">
            <v>0.05</v>
          </cell>
        </row>
      </sheetData>
      <sheetData sheetId="14"/>
      <sheetData sheetId="15"/>
      <sheetData sheetId="16"/>
      <sheetData sheetId="1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"/>
      <sheetName val="Modelo"/>
      <sheetName val="nucleo"/>
      <sheetName val="salidas I"/>
      <sheetName val="salidas II"/>
      <sheetName val="graficos"/>
      <sheetName val="IVA"/>
      <sheetName val="anexos"/>
      <sheetName val="Hoja14"/>
      <sheetName val="Hoja16"/>
      <sheetName val="Hoja17"/>
      <sheetName val="Módulo1"/>
      <sheetName val="Módulo2"/>
      <sheetName val="Módulo3"/>
      <sheetName val="Módulo4"/>
      <sheetName val="Módulo5"/>
      <sheetName val="Módulo6"/>
      <sheetName val="Módulo7"/>
      <sheetName val="Module1"/>
      <sheetName val="Módulo8"/>
      <sheetName val="Módulo9"/>
    </sheetNames>
    <sheetDataSet>
      <sheetData sheetId="0" refreshError="1"/>
      <sheetData sheetId="1" refreshError="1">
        <row r="117">
          <cell r="B117" t="str">
            <v>Cash Flow Proyectado (Método Directo)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>
        <row r="21">
          <cell r="G21" t="str">
            <v>OK</v>
          </cell>
        </row>
        <row r="22">
          <cell r="G22" t="str">
            <v>OK</v>
          </cell>
        </row>
        <row r="23">
          <cell r="G23" t="str">
            <v>OK</v>
          </cell>
        </row>
        <row r="24">
          <cell r="G24" t="str">
            <v>OK</v>
          </cell>
        </row>
        <row r="25">
          <cell r="G25" t="str">
            <v>OK</v>
          </cell>
        </row>
        <row r="26">
          <cell r="G26" t="str">
            <v>OK</v>
          </cell>
        </row>
        <row r="27">
          <cell r="G27" t="str">
            <v>OK</v>
          </cell>
        </row>
        <row r="30">
          <cell r="G30" t="str">
            <v>OK</v>
          </cell>
        </row>
        <row r="31">
          <cell r="G31" t="str">
            <v>OK</v>
          </cell>
        </row>
        <row r="32">
          <cell r="G32" t="str">
            <v>OK</v>
          </cell>
        </row>
        <row r="33">
          <cell r="G33" t="str">
            <v>OK</v>
          </cell>
        </row>
        <row r="34">
          <cell r="G34" t="str">
            <v>OK</v>
          </cell>
        </row>
        <row r="35">
          <cell r="G35" t="str">
            <v>OK</v>
          </cell>
        </row>
        <row r="38">
          <cell r="G38" t="str">
            <v>OK</v>
          </cell>
        </row>
        <row r="39">
          <cell r="G39" t="str">
            <v>OK</v>
          </cell>
        </row>
        <row r="48">
          <cell r="B48" t="str">
            <v>Correcciones al resultado</v>
          </cell>
        </row>
        <row r="49">
          <cell r="B49" t="str">
            <v>Flujos operativos</v>
          </cell>
        </row>
        <row r="50">
          <cell r="B50" t="str">
            <v>Flujos de Inversión</v>
          </cell>
        </row>
        <row r="51">
          <cell r="B51" t="str">
            <v>Flujos financieros</v>
          </cell>
        </row>
      </sheetData>
      <sheetData sheetId="2" refreshError="1"/>
      <sheetData sheetId="3" refreshError="1"/>
      <sheetData sheetId="4" refreshError="1">
        <row r="11">
          <cell r="A11" t="str">
            <v>Bienes de Uso NC</v>
          </cell>
          <cell r="B11">
            <v>104638.68</v>
          </cell>
        </row>
        <row r="12">
          <cell r="A12" t="str">
            <v>Amortización de bs. de uso</v>
          </cell>
          <cell r="C12">
            <v>104638.68</v>
          </cell>
        </row>
        <row r="14">
          <cell r="A14" t="str">
            <v>Compras de bienes de uso</v>
          </cell>
        </row>
        <row r="15">
          <cell r="A15" t="str">
            <v>Bienes de Uso NC</v>
          </cell>
          <cell r="C15">
            <v>0</v>
          </cell>
        </row>
        <row r="17">
          <cell r="A17" t="str">
            <v>Bienes de Uso NC</v>
          </cell>
        </row>
        <row r="18">
          <cell r="A18" t="str">
            <v>Resultado venta de Bs. Uso</v>
          </cell>
        </row>
        <row r="19">
          <cell r="A19" t="str">
            <v>Ventas de bienes de uso</v>
          </cell>
          <cell r="C19">
            <v>0</v>
          </cell>
        </row>
        <row r="21">
          <cell r="A21" t="str">
            <v>Activos Intangibles NC</v>
          </cell>
          <cell r="B21">
            <v>80842.320000000007</v>
          </cell>
        </row>
        <row r="22">
          <cell r="A22" t="str">
            <v>Amortización de intangibles</v>
          </cell>
          <cell r="C22">
            <v>80842.320000000007</v>
          </cell>
        </row>
        <row r="24">
          <cell r="A24" t="str">
            <v>Activos Intangibles NC</v>
          </cell>
          <cell r="B24">
            <v>-33132</v>
          </cell>
        </row>
        <row r="25">
          <cell r="A25" t="str">
            <v>Resultado por tenencia</v>
          </cell>
          <cell r="C25">
            <v>-33132</v>
          </cell>
        </row>
        <row r="28">
          <cell r="A28" t="str">
            <v>Resultado Extraordianrio</v>
          </cell>
          <cell r="B28">
            <v>2623263</v>
          </cell>
        </row>
        <row r="29">
          <cell r="A29" t="str">
            <v>Otros Créditos</v>
          </cell>
          <cell r="C29">
            <v>2623263</v>
          </cell>
        </row>
        <row r="31">
          <cell r="A31" t="str">
            <v>Resultados no asignados</v>
          </cell>
          <cell r="B31">
            <v>1877119</v>
          </cell>
        </row>
        <row r="32">
          <cell r="A32" t="str">
            <v>AREA</v>
          </cell>
          <cell r="C32">
            <v>1877119</v>
          </cell>
        </row>
        <row r="37">
          <cell r="A37" t="str">
            <v>Concursal Otros</v>
          </cell>
          <cell r="B37">
            <v>540209</v>
          </cell>
        </row>
        <row r="38">
          <cell r="A38" t="str">
            <v>Otros Activos</v>
          </cell>
          <cell r="C38">
            <v>540209</v>
          </cell>
        </row>
        <row r="41">
          <cell r="A41" t="str">
            <v>Concursal Pacifico Tittarelli</v>
          </cell>
          <cell r="B41">
            <v>86001.79</v>
          </cell>
        </row>
        <row r="42">
          <cell r="A42" t="str">
            <v>Concursal DGR Sellos</v>
          </cell>
          <cell r="B42">
            <v>155961.495</v>
          </cell>
        </row>
        <row r="43">
          <cell r="A43" t="str">
            <v>Concursal Acuerdos 10%</v>
          </cell>
          <cell r="B43">
            <v>234858.03000000003</v>
          </cell>
        </row>
        <row r="44">
          <cell r="A44" t="str">
            <v>Concursal Otros</v>
          </cell>
          <cell r="B44">
            <v>87654.02</v>
          </cell>
        </row>
        <row r="45">
          <cell r="A45" t="str">
            <v>Resultado Extraordianrio</v>
          </cell>
          <cell r="C45">
            <v>564475.33499999996</v>
          </cell>
        </row>
        <row r="48">
          <cell r="A48" t="str">
            <v>Resultado Extraordianrio</v>
          </cell>
          <cell r="B48">
            <v>545683.96000000031</v>
          </cell>
        </row>
        <row r="49">
          <cell r="A49" t="str">
            <v>Concursal Otros</v>
          </cell>
          <cell r="C49">
            <v>545683.96000000031</v>
          </cell>
        </row>
        <row r="51">
          <cell r="A51" t="str">
            <v>Concursal AFIP</v>
          </cell>
        </row>
        <row r="52">
          <cell r="A52" t="str">
            <v>Concursal Otros</v>
          </cell>
          <cell r="C52">
            <v>0</v>
          </cell>
        </row>
        <row r="55">
          <cell r="A55" t="str">
            <v>Otros Créditos</v>
          </cell>
          <cell r="B55">
            <v>242363</v>
          </cell>
        </row>
        <row r="56">
          <cell r="A56" t="str">
            <v>Concursal AFIP</v>
          </cell>
          <cell r="C56">
            <v>242363</v>
          </cell>
        </row>
        <row r="60">
          <cell r="A60" t="str">
            <v>Deudas fiscales</v>
          </cell>
          <cell r="B60">
            <v>54913</v>
          </cell>
        </row>
        <row r="61">
          <cell r="A61" t="str">
            <v>Otros Créditos NC</v>
          </cell>
          <cell r="C61">
            <v>54913</v>
          </cell>
        </row>
        <row r="63">
          <cell r="A63" t="str">
            <v>Concursal AFIP</v>
          </cell>
          <cell r="B63">
            <v>14000</v>
          </cell>
        </row>
        <row r="64">
          <cell r="A64" t="str">
            <v>Intereses deuda Afip Concusal</v>
          </cell>
          <cell r="C64">
            <v>14000</v>
          </cell>
        </row>
        <row r="68">
          <cell r="A68" t="str">
            <v>Disponibilidades</v>
          </cell>
        </row>
        <row r="69">
          <cell r="A69" t="str">
            <v>Creditos por ventas</v>
          </cell>
        </row>
        <row r="70">
          <cell r="A70" t="str">
            <v>Otros Créditos</v>
          </cell>
        </row>
        <row r="71">
          <cell r="A71" t="str">
            <v>Bienes de Cambio</v>
          </cell>
        </row>
        <row r="72">
          <cell r="A72" t="str">
            <v>Otras deudas</v>
          </cell>
        </row>
        <row r="73">
          <cell r="A73" t="str">
            <v>Inversiones-no fondos</v>
          </cell>
        </row>
        <row r="74">
          <cell r="A74" t="str">
            <v>Otros Activos</v>
          </cell>
        </row>
        <row r="75">
          <cell r="A75" t="str">
            <v>RECPAM</v>
          </cell>
        </row>
        <row r="79">
          <cell r="A79" t="str">
            <v>Bienes de Cambio</v>
          </cell>
        </row>
        <row r="80">
          <cell r="A80" t="str">
            <v>Otros Créditos NC</v>
          </cell>
        </row>
        <row r="82">
          <cell r="A82" t="str">
            <v>Bienes de Cambio</v>
          </cell>
        </row>
        <row r="83">
          <cell r="A83" t="str">
            <v>Resultado por tenencia</v>
          </cell>
        </row>
        <row r="85">
          <cell r="A85" t="str">
            <v>Diferencia de cambio</v>
          </cell>
        </row>
        <row r="86">
          <cell r="A86" t="str">
            <v>Deuda financiera</v>
          </cell>
        </row>
        <row r="94">
          <cell r="A94" t="str">
            <v>Eliminaciones</v>
          </cell>
        </row>
        <row r="95">
          <cell r="A95" t="str">
            <v>Cuentas</v>
          </cell>
          <cell r="B95" t="str">
            <v>Debe</v>
          </cell>
          <cell r="C95" t="str">
            <v>Haber</v>
          </cell>
        </row>
        <row r="98">
          <cell r="A98" t="str">
            <v>Otros Créditos</v>
          </cell>
        </row>
        <row r="99">
          <cell r="A99" t="str">
            <v>Bienes de Cambio</v>
          </cell>
        </row>
        <row r="101">
          <cell r="A101" t="str">
            <v>Bienes de Cambio</v>
          </cell>
        </row>
        <row r="102">
          <cell r="A102" t="str">
            <v>Otros Créditos</v>
          </cell>
        </row>
        <row r="104">
          <cell r="A104" t="str">
            <v>Otros Créditos</v>
          </cell>
        </row>
        <row r="105">
          <cell r="A105" t="str">
            <v>Bienes de Cambio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>
        <row r="48">
          <cell r="B48" t="str">
            <v>Correcciones al resultado</v>
          </cell>
        </row>
        <row r="49">
          <cell r="B49" t="str">
            <v>Flujos operativos</v>
          </cell>
        </row>
        <row r="50">
          <cell r="B50" t="str">
            <v>Flujos de Inversión</v>
          </cell>
        </row>
        <row r="51">
          <cell r="B51" t="str">
            <v>Flujos financieros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 llave"/>
      <sheetName val="Controles"/>
      <sheetName val="Comparativo"/>
      <sheetName val="sit pat"/>
      <sheetName val="Asientos"/>
      <sheetName val="AxI"/>
      <sheetName val="RT 19"/>
      <sheetName val="RT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1">
          <cell r="B11">
            <v>104638.68</v>
          </cell>
        </row>
        <row r="21">
          <cell r="B21">
            <v>80842.320000000007</v>
          </cell>
        </row>
        <row r="24">
          <cell r="B24">
            <v>-33132</v>
          </cell>
        </row>
        <row r="28">
          <cell r="B28">
            <v>2623263</v>
          </cell>
        </row>
        <row r="31">
          <cell r="B31">
            <v>1877119</v>
          </cell>
        </row>
        <row r="37">
          <cell r="B37">
            <v>540209</v>
          </cell>
        </row>
        <row r="41">
          <cell r="B41">
            <v>86001.79</v>
          </cell>
        </row>
        <row r="42">
          <cell r="B42">
            <v>155961.495</v>
          </cell>
        </row>
        <row r="43">
          <cell r="B43">
            <v>234858.03000000003</v>
          </cell>
        </row>
        <row r="44">
          <cell r="B44">
            <v>87654.02</v>
          </cell>
        </row>
        <row r="48">
          <cell r="B48">
            <v>545683.96000000031</v>
          </cell>
        </row>
        <row r="55">
          <cell r="B55">
            <v>242363</v>
          </cell>
        </row>
        <row r="60">
          <cell r="B60">
            <v>54913</v>
          </cell>
        </row>
        <row r="63">
          <cell r="B63">
            <v>14000</v>
          </cell>
        </row>
        <row r="95">
          <cell r="B95" t="str">
            <v>Debe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CA"/>
      <sheetName val="Resid - Datos"/>
      <sheetName val="Resid - BCase Base"/>
      <sheetName val="Sheet1"/>
    </sheetNames>
    <sheetDataSet>
      <sheetData sheetId="0"/>
      <sheetData sheetId="1">
        <row r="7">
          <cell r="R7">
            <v>1.4037680088659032</v>
          </cell>
        </row>
        <row r="33">
          <cell r="B33">
            <v>228</v>
          </cell>
          <cell r="D33">
            <v>116.00000000000001</v>
          </cell>
          <cell r="E33">
            <v>19324</v>
          </cell>
        </row>
      </sheetData>
      <sheetData sheetId="2">
        <row r="245">
          <cell r="D245">
            <v>-7511619.8274104176</v>
          </cell>
        </row>
      </sheetData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 refreshError="1">
        <row r="37">
          <cell r="G37">
            <v>167008.11570697269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CA"/>
      <sheetName val="Resid - Datos"/>
      <sheetName val="Resid - BCase Base CF"/>
      <sheetName val="EECC Resid"/>
    </sheetNames>
    <sheetDataSet>
      <sheetData sheetId="0"/>
      <sheetData sheetId="1"/>
      <sheetData sheetId="2">
        <row r="279">
          <cell r="I279">
            <v>-6</v>
          </cell>
        </row>
      </sheetData>
      <sheetData sheetId="3">
        <row r="34">
          <cell r="D34">
            <v>2564179.1811078014</v>
          </cell>
          <cell r="E34">
            <v>4747965.4526628004</v>
          </cell>
          <cell r="F34">
            <v>7145761.5403381223</v>
          </cell>
          <cell r="G34">
            <v>12109877.501136506</v>
          </cell>
          <cell r="H34">
            <v>4754175.0457898853</v>
          </cell>
        </row>
        <row r="35">
          <cell r="D35">
            <v>-3277076.8082722165</v>
          </cell>
          <cell r="E35">
            <v>-2933706.1599262585</v>
          </cell>
          <cell r="G35">
            <v>-6159311.4432741599</v>
          </cell>
          <cell r="H35">
            <v>-1358033.9282866982</v>
          </cell>
        </row>
        <row r="36">
          <cell r="F36">
            <v>-6958306.9662494026</v>
          </cell>
        </row>
        <row r="47">
          <cell r="D47">
            <v>798623.19486407936</v>
          </cell>
          <cell r="F47">
            <v>10147840.391559333</v>
          </cell>
          <cell r="G47">
            <v>7223818.5487594847</v>
          </cell>
        </row>
        <row r="61">
          <cell r="D61">
            <v>2564179.1811078014</v>
          </cell>
          <cell r="E61">
            <v>7312144.6337706018</v>
          </cell>
          <cell r="F61">
            <v>14457906.174108725</v>
          </cell>
          <cell r="G61">
            <v>10906804.314727681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W191"/>
  <sheetViews>
    <sheetView zoomScale="125" zoomScaleNormal="50" workbookViewId="0">
      <selection activeCell="L62" sqref="L62"/>
    </sheetView>
  </sheetViews>
  <sheetFormatPr baseColWidth="10" defaultColWidth="11.5" defaultRowHeight="14" x14ac:dyDescent="0.2"/>
  <cols>
    <col min="1" max="1" width="25.6640625" style="7" customWidth="1"/>
    <col min="2" max="2" width="11.5" style="7"/>
    <col min="3" max="3" width="15" style="7" bestFit="1" customWidth="1"/>
    <col min="4" max="4" width="11.6640625" style="7" customWidth="1"/>
    <col min="5" max="5" width="13.33203125" style="7" customWidth="1"/>
    <col min="6" max="6" width="11.6640625" style="7" customWidth="1"/>
    <col min="7" max="7" width="11.5" style="7"/>
    <col min="8" max="8" width="11" style="7" customWidth="1"/>
    <col min="9" max="11" width="11.5" style="7"/>
    <col min="12" max="12" width="12" style="7" customWidth="1"/>
    <col min="13" max="13" width="13.5" style="7" customWidth="1"/>
    <col min="14" max="14" width="11.5" style="7"/>
    <col min="15" max="15" width="15.33203125" style="7" customWidth="1"/>
    <col min="16" max="17" width="11.5" style="7"/>
    <col min="18" max="18" width="18.1640625" style="7" customWidth="1"/>
    <col min="19" max="19" width="14.83203125" style="7" bestFit="1" customWidth="1"/>
    <col min="20" max="21" width="11.5" style="7"/>
    <col min="22" max="22" width="9.6640625" style="7" bestFit="1" customWidth="1"/>
    <col min="23" max="16384" width="11.5" style="7"/>
  </cols>
  <sheetData>
    <row r="1" spans="1:23" ht="19" x14ac:dyDescent="0.25">
      <c r="A1" s="5" t="s">
        <v>13</v>
      </c>
      <c r="J1" s="12" t="s">
        <v>83</v>
      </c>
      <c r="K1" s="13"/>
      <c r="L1" s="13"/>
      <c r="M1" s="225" t="s">
        <v>48</v>
      </c>
      <c r="N1" s="13"/>
      <c r="Q1" s="28" t="s">
        <v>111</v>
      </c>
      <c r="V1" s="81"/>
      <c r="W1" s="81"/>
    </row>
    <row r="2" spans="1:23" ht="16" x14ac:dyDescent="0.2">
      <c r="A2" s="11" t="s">
        <v>16</v>
      </c>
      <c r="J2" s="15" t="s">
        <v>17</v>
      </c>
      <c r="K2" s="15"/>
      <c r="L2" s="15"/>
      <c r="M2" s="16">
        <v>4851</v>
      </c>
      <c r="N2" s="15" t="s">
        <v>0</v>
      </c>
      <c r="Q2" s="102" t="s">
        <v>165</v>
      </c>
      <c r="R2" s="24" t="s">
        <v>76</v>
      </c>
      <c r="S2" s="24"/>
      <c r="T2" s="25">
        <v>6313</v>
      </c>
      <c r="U2" s="24" t="s">
        <v>0</v>
      </c>
      <c r="V2" s="81"/>
      <c r="W2" s="81"/>
    </row>
    <row r="3" spans="1:23" x14ac:dyDescent="0.2">
      <c r="A3" s="31" t="s">
        <v>157</v>
      </c>
      <c r="J3" s="17" t="s">
        <v>18</v>
      </c>
      <c r="K3" s="17"/>
      <c r="L3" s="18">
        <v>0.9</v>
      </c>
      <c r="M3" s="17">
        <f>+M2*L3</f>
        <v>4365.9000000000005</v>
      </c>
      <c r="N3" s="17" t="s">
        <v>0</v>
      </c>
      <c r="Q3" s="103"/>
      <c r="R3" s="103" t="s">
        <v>79</v>
      </c>
      <c r="S3" s="103"/>
      <c r="T3" s="103">
        <f>+T2/T4</f>
        <v>28.958715596330276</v>
      </c>
      <c r="U3" s="103" t="s">
        <v>81</v>
      </c>
      <c r="V3" s="81"/>
      <c r="W3" s="81"/>
    </row>
    <row r="4" spans="1:23" x14ac:dyDescent="0.2">
      <c r="J4" s="13"/>
      <c r="K4" s="13"/>
      <c r="L4" s="13"/>
      <c r="M4" s="13"/>
      <c r="N4" s="13"/>
      <c r="Q4" s="103"/>
      <c r="R4" s="103" t="s">
        <v>77</v>
      </c>
      <c r="S4" s="103"/>
      <c r="T4" s="104">
        <v>218</v>
      </c>
      <c r="U4" s="103" t="s">
        <v>78</v>
      </c>
      <c r="V4" s="81"/>
      <c r="W4" s="81"/>
    </row>
    <row r="5" spans="1:23" x14ac:dyDescent="0.2">
      <c r="J5" s="15" t="s">
        <v>19</v>
      </c>
      <c r="K5" s="15"/>
      <c r="L5" s="16">
        <v>50</v>
      </c>
      <c r="M5" s="15">
        <f>+M3/L5</f>
        <v>87.318000000000012</v>
      </c>
      <c r="N5" s="15" t="s">
        <v>105</v>
      </c>
      <c r="Q5" s="26"/>
      <c r="R5" s="26" t="s">
        <v>82</v>
      </c>
      <c r="S5" s="26"/>
      <c r="T5" s="105">
        <v>100</v>
      </c>
      <c r="U5" s="26" t="s">
        <v>9</v>
      </c>
      <c r="V5" s="81"/>
      <c r="W5" s="81"/>
    </row>
    <row r="6" spans="1:23" x14ac:dyDescent="0.2">
      <c r="J6" s="17" t="s">
        <v>21</v>
      </c>
      <c r="K6" s="17"/>
      <c r="L6" s="109" t="str">
        <f>+IF(M6&gt;M5,"OK","NO Verifica")</f>
        <v>OK</v>
      </c>
      <c r="M6" s="172">
        <v>200</v>
      </c>
      <c r="N6" s="17" t="s">
        <v>20</v>
      </c>
      <c r="Q6" s="102" t="s">
        <v>166</v>
      </c>
      <c r="R6" s="24" t="s">
        <v>80</v>
      </c>
      <c r="S6" s="24"/>
      <c r="T6" s="25">
        <f>+T2</f>
        <v>6313</v>
      </c>
      <c r="U6" s="24" t="s">
        <v>0</v>
      </c>
      <c r="V6" s="155"/>
      <c r="W6" s="81"/>
    </row>
    <row r="7" spans="1:23" x14ac:dyDescent="0.2">
      <c r="J7" s="13"/>
      <c r="K7" s="13"/>
      <c r="L7" s="13"/>
      <c r="M7" s="13"/>
      <c r="N7" s="13"/>
      <c r="Q7" s="103"/>
      <c r="R7" s="103" t="str">
        <f>+R3</f>
        <v>Ratio m2/Cochera</v>
      </c>
      <c r="S7" s="103"/>
      <c r="T7" s="103">
        <v>30</v>
      </c>
      <c r="U7" s="103" t="s">
        <v>81</v>
      </c>
      <c r="V7" s="81"/>
      <c r="W7" s="81"/>
    </row>
    <row r="8" spans="1:23" x14ac:dyDescent="0.2">
      <c r="J8" s="15" t="s">
        <v>22</v>
      </c>
      <c r="K8" s="15"/>
      <c r="L8" s="15"/>
      <c r="M8" s="19">
        <v>0.05</v>
      </c>
      <c r="N8" s="15"/>
      <c r="Q8" s="103"/>
      <c r="R8" s="103" t="str">
        <f>+R4</f>
        <v>Cantidad Cocheras</v>
      </c>
      <c r="S8" s="103"/>
      <c r="T8" s="104">
        <v>218</v>
      </c>
      <c r="U8" s="103" t="s">
        <v>78</v>
      </c>
      <c r="V8" s="81"/>
      <c r="W8" s="81"/>
    </row>
    <row r="9" spans="1:23" x14ac:dyDescent="0.2">
      <c r="J9" s="4" t="s">
        <v>24</v>
      </c>
      <c r="K9" s="4"/>
      <c r="L9" s="4"/>
      <c r="M9" s="89">
        <v>8</v>
      </c>
      <c r="N9" s="4" t="s">
        <v>23</v>
      </c>
      <c r="Q9" s="26"/>
      <c r="R9" s="26" t="s">
        <v>82</v>
      </c>
      <c r="S9" s="26"/>
      <c r="T9" s="105">
        <v>300</v>
      </c>
      <c r="U9" s="26" t="s">
        <v>9</v>
      </c>
      <c r="V9" s="81"/>
      <c r="W9" s="81"/>
    </row>
    <row r="10" spans="1:23" x14ac:dyDescent="0.2">
      <c r="J10" s="4" t="s">
        <v>26</v>
      </c>
      <c r="K10" s="4"/>
      <c r="L10" s="4"/>
      <c r="M10" s="20">
        <v>0.15</v>
      </c>
      <c r="N10" s="4"/>
      <c r="V10" s="81"/>
      <c r="W10" s="81"/>
    </row>
    <row r="11" spans="1:23" x14ac:dyDescent="0.2">
      <c r="J11" s="17" t="s">
        <v>29</v>
      </c>
      <c r="K11" s="17"/>
      <c r="L11" s="17"/>
      <c r="M11" s="18">
        <v>0.05</v>
      </c>
      <c r="N11" s="17"/>
      <c r="Q11" s="22" t="s">
        <v>53</v>
      </c>
      <c r="R11" s="22"/>
      <c r="S11" s="22"/>
      <c r="T11" s="22">
        <f>+T8+T4</f>
        <v>436</v>
      </c>
      <c r="U11" s="22" t="s">
        <v>20</v>
      </c>
      <c r="V11" s="81"/>
      <c r="W11" s="81"/>
    </row>
    <row r="12" spans="1:23" x14ac:dyDescent="0.2">
      <c r="J12" s="21" t="s">
        <v>27</v>
      </c>
      <c r="K12" s="21"/>
      <c r="L12" s="21"/>
      <c r="M12" s="21">
        <f>+M3*M9*(1-M8)*(1-M10)*(1+M11)*12</f>
        <v>355366.79640000005</v>
      </c>
      <c r="N12" s="21" t="s">
        <v>28</v>
      </c>
      <c r="Q12" s="81"/>
      <c r="R12" s="81"/>
      <c r="S12" s="81"/>
      <c r="T12" s="81"/>
      <c r="U12" s="81"/>
      <c r="V12" s="81"/>
      <c r="W12" s="81"/>
    </row>
    <row r="13" spans="1:23" x14ac:dyDescent="0.2">
      <c r="J13" s="82"/>
      <c r="K13" s="82"/>
      <c r="L13" s="82"/>
      <c r="M13" s="82"/>
      <c r="N13" s="82"/>
      <c r="Q13" s="24" t="s">
        <v>84</v>
      </c>
      <c r="R13" s="24"/>
      <c r="S13" s="24"/>
      <c r="T13" s="25">
        <v>25</v>
      </c>
      <c r="U13" s="24" t="s">
        <v>85</v>
      </c>
      <c r="V13" s="81"/>
      <c r="W13" s="81"/>
    </row>
    <row r="14" spans="1:23" x14ac:dyDescent="0.2">
      <c r="J14" s="15" t="s">
        <v>30</v>
      </c>
      <c r="K14" s="15"/>
      <c r="L14" s="16">
        <v>50</v>
      </c>
      <c r="M14" s="15">
        <f>+L14*M2</f>
        <v>242550</v>
      </c>
      <c r="N14" s="15" t="s">
        <v>36</v>
      </c>
      <c r="Q14" s="26" t="s">
        <v>86</v>
      </c>
      <c r="R14" s="26"/>
      <c r="S14" s="26">
        <f>+C71+D71+E71+F71+G71</f>
        <v>9537</v>
      </c>
      <c r="T14" s="26">
        <f>+S14/T13</f>
        <v>381.48</v>
      </c>
      <c r="U14" s="26" t="s">
        <v>20</v>
      </c>
      <c r="V14" s="81"/>
      <c r="W14" s="81"/>
    </row>
    <row r="15" spans="1:23" x14ac:dyDescent="0.2">
      <c r="J15" s="17" t="s">
        <v>33</v>
      </c>
      <c r="K15" s="17"/>
      <c r="L15" s="18">
        <v>0.15</v>
      </c>
      <c r="M15" s="17">
        <f>+M14*L15</f>
        <v>36382.5</v>
      </c>
      <c r="N15" s="17" t="s">
        <v>36</v>
      </c>
      <c r="Q15" s="22" t="s">
        <v>87</v>
      </c>
      <c r="R15" s="22"/>
      <c r="S15" s="22"/>
      <c r="T15" s="22">
        <f>+T11-T14</f>
        <v>54.519999999999982</v>
      </c>
      <c r="U15" s="22" t="s">
        <v>20</v>
      </c>
      <c r="V15" s="81"/>
      <c r="W15" s="81"/>
    </row>
    <row r="16" spans="1:23" x14ac:dyDescent="0.2">
      <c r="J16" s="21" t="s">
        <v>39</v>
      </c>
      <c r="K16" s="21"/>
      <c r="L16" s="21"/>
      <c r="M16" s="21">
        <f>+M15+M14</f>
        <v>278932.5</v>
      </c>
      <c r="N16" s="21" t="str">
        <f>+N15</f>
        <v>USD + IVA</v>
      </c>
      <c r="Q16" s="81"/>
      <c r="R16" s="81"/>
      <c r="S16" s="81"/>
      <c r="T16" s="81"/>
      <c r="U16" s="81"/>
      <c r="V16" s="81"/>
      <c r="W16" s="81"/>
    </row>
    <row r="17" spans="10:23" x14ac:dyDescent="0.2">
      <c r="J17" s="14" t="s">
        <v>40</v>
      </c>
      <c r="K17" s="14"/>
      <c r="L17" s="14"/>
      <c r="M17" s="14">
        <f>+M16/M12</f>
        <v>0.78491435560578993</v>
      </c>
      <c r="N17" s="14" t="s">
        <v>41</v>
      </c>
      <c r="Q17" s="140" t="s">
        <v>88</v>
      </c>
      <c r="R17" s="141"/>
      <c r="S17" s="141"/>
      <c r="T17" s="141"/>
      <c r="U17" s="142"/>
      <c r="V17" s="81"/>
      <c r="W17" s="81"/>
    </row>
    <row r="18" spans="10:23" ht="15" x14ac:dyDescent="0.2">
      <c r="J18" s="82"/>
      <c r="K18" s="82"/>
      <c r="L18" s="82"/>
      <c r="M18" s="82"/>
      <c r="N18" s="82"/>
      <c r="Q18" s="23" t="s">
        <v>101</v>
      </c>
      <c r="R18" s="85"/>
      <c r="S18" s="85"/>
      <c r="T18" s="106">
        <v>38</v>
      </c>
      <c r="U18" s="107" t="s">
        <v>102</v>
      </c>
      <c r="V18" s="142"/>
      <c r="W18" s="99"/>
    </row>
    <row r="19" spans="10:23" x14ac:dyDescent="0.2">
      <c r="J19" s="21" t="s">
        <v>107</v>
      </c>
      <c r="K19" s="21"/>
      <c r="L19" s="110">
        <v>0.08</v>
      </c>
      <c r="M19" s="21">
        <f>+M12/L19-M16</f>
        <v>4163152.4550000001</v>
      </c>
      <c r="N19" s="21" t="s">
        <v>2</v>
      </c>
      <c r="Q19" s="23" t="s">
        <v>103</v>
      </c>
      <c r="R19" s="85"/>
      <c r="S19" s="85"/>
      <c r="T19" s="108">
        <v>0.21</v>
      </c>
      <c r="U19" s="85"/>
      <c r="V19" s="81"/>
      <c r="W19" s="81"/>
    </row>
    <row r="20" spans="10:23" ht="15" x14ac:dyDescent="0.2">
      <c r="J20" s="14" t="s">
        <v>106</v>
      </c>
      <c r="K20" s="82"/>
      <c r="L20" s="82"/>
      <c r="M20" s="82"/>
      <c r="N20" s="82"/>
      <c r="Q20" s="81"/>
      <c r="R20" s="81"/>
      <c r="S20" s="81"/>
      <c r="T20" s="81"/>
      <c r="U20" s="81"/>
      <c r="V20" s="81"/>
      <c r="W20" s="99"/>
    </row>
    <row r="21" spans="10:23" ht="15" x14ac:dyDescent="0.2">
      <c r="J21" s="14" t="s">
        <v>46</v>
      </c>
      <c r="K21" s="82"/>
      <c r="L21" s="82"/>
      <c r="M21" s="82"/>
      <c r="N21" s="82"/>
      <c r="Q21" s="143" t="s">
        <v>89</v>
      </c>
      <c r="R21" s="86"/>
      <c r="S21" s="157">
        <v>60</v>
      </c>
      <c r="T21" s="27">
        <v>0.7</v>
      </c>
      <c r="U21" s="143"/>
      <c r="V21" s="81"/>
      <c r="W21" s="99"/>
    </row>
    <row r="22" spans="10:23" ht="15" x14ac:dyDescent="0.2">
      <c r="J22" s="14" t="s">
        <v>32</v>
      </c>
      <c r="K22" s="82"/>
      <c r="L22" s="82"/>
      <c r="M22" s="82"/>
      <c r="N22" s="82"/>
      <c r="Q22" s="144" t="s">
        <v>90</v>
      </c>
      <c r="R22" s="84"/>
      <c r="S22" s="158">
        <v>80</v>
      </c>
      <c r="T22" s="145">
        <f>1-T21</f>
        <v>0.30000000000000004</v>
      </c>
      <c r="U22" s="144"/>
      <c r="V22" s="146"/>
      <c r="W22" s="99"/>
    </row>
    <row r="23" spans="10:23" ht="15" x14ac:dyDescent="0.2">
      <c r="J23" s="14" t="s">
        <v>42</v>
      </c>
      <c r="K23" s="82"/>
      <c r="L23" s="82"/>
      <c r="M23" s="82"/>
      <c r="N23" s="82"/>
      <c r="Q23" s="147" t="s">
        <v>91</v>
      </c>
      <c r="R23" s="85"/>
      <c r="S23" s="147"/>
      <c r="T23" s="148">
        <f>+(S21*T21+S22*T22)/T18</f>
        <v>1.736842105263158</v>
      </c>
      <c r="U23" s="147" t="s">
        <v>92</v>
      </c>
      <c r="V23" s="146"/>
      <c r="W23" s="99"/>
    </row>
    <row r="24" spans="10:23" ht="15" x14ac:dyDescent="0.2">
      <c r="J24" s="14" t="s">
        <v>31</v>
      </c>
      <c r="K24" s="82"/>
      <c r="L24" s="82"/>
      <c r="M24" s="82"/>
      <c r="N24" s="82"/>
      <c r="Q24" s="141"/>
      <c r="R24" s="81"/>
      <c r="S24" s="141"/>
      <c r="T24" s="141"/>
      <c r="U24" s="141"/>
      <c r="V24" s="146"/>
      <c r="W24" s="99"/>
    </row>
    <row r="25" spans="10:23" ht="15" x14ac:dyDescent="0.2">
      <c r="J25" s="14" t="s">
        <v>25</v>
      </c>
      <c r="K25" s="82"/>
      <c r="L25" s="82"/>
      <c r="M25" s="82"/>
      <c r="N25" s="82"/>
      <c r="Q25" s="147" t="s">
        <v>93</v>
      </c>
      <c r="R25" s="85"/>
      <c r="S25" s="147"/>
      <c r="T25" s="108">
        <v>0.02</v>
      </c>
      <c r="U25" s="147"/>
      <c r="V25" s="142"/>
      <c r="W25" s="99"/>
    </row>
    <row r="26" spans="10:23" ht="15" x14ac:dyDescent="0.2">
      <c r="J26" s="81"/>
      <c r="K26" s="81"/>
      <c r="L26" s="81"/>
      <c r="M26" s="81"/>
      <c r="N26" s="81"/>
      <c r="Q26" s="141"/>
      <c r="R26" s="81"/>
      <c r="S26" s="141"/>
      <c r="T26" s="141"/>
      <c r="U26" s="141"/>
      <c r="V26" s="142"/>
      <c r="W26" s="99"/>
    </row>
    <row r="27" spans="10:23" ht="15" x14ac:dyDescent="0.2">
      <c r="J27" s="81"/>
      <c r="K27" s="81"/>
      <c r="L27" s="81"/>
      <c r="M27" s="81"/>
      <c r="N27" s="81"/>
      <c r="Q27" s="149" t="s">
        <v>94</v>
      </c>
      <c r="R27" s="81"/>
      <c r="S27" s="141"/>
      <c r="T27" s="141"/>
      <c r="U27" s="141"/>
      <c r="V27" s="142"/>
      <c r="W27" s="99"/>
    </row>
    <row r="28" spans="10:23" ht="15" x14ac:dyDescent="0.2">
      <c r="J28" s="81"/>
      <c r="K28" s="81"/>
      <c r="L28" s="81"/>
      <c r="M28" s="81"/>
      <c r="N28" s="81"/>
      <c r="Q28" s="147" t="s">
        <v>95</v>
      </c>
      <c r="R28" s="85"/>
      <c r="S28" s="150">
        <v>3</v>
      </c>
      <c r="T28" s="23">
        <f>+S28*T15*T23*(1+T25)*365/(1+T19)</f>
        <v>87406.777033492806</v>
      </c>
      <c r="U28" s="147" t="s">
        <v>2</v>
      </c>
      <c r="V28" s="142"/>
      <c r="W28" s="99"/>
    </row>
    <row r="29" spans="10:23" ht="15" x14ac:dyDescent="0.2">
      <c r="J29" s="112" t="s">
        <v>34</v>
      </c>
      <c r="K29" s="122"/>
      <c r="L29" s="122"/>
      <c r="M29" s="122"/>
      <c r="N29" s="122"/>
      <c r="Q29" s="151" t="s">
        <v>96</v>
      </c>
      <c r="R29" s="85"/>
      <c r="S29" s="152">
        <v>0.2</v>
      </c>
      <c r="T29" s="173">
        <f>-T28*S29</f>
        <v>-17481.355406698563</v>
      </c>
      <c r="U29" s="151" t="str">
        <f>+U28</f>
        <v>USD</v>
      </c>
      <c r="V29" s="146"/>
      <c r="W29" s="99"/>
    </row>
    <row r="30" spans="10:23" ht="15" x14ac:dyDescent="0.2">
      <c r="J30" s="123" t="s">
        <v>128</v>
      </c>
      <c r="K30" s="124"/>
      <c r="L30" s="124" t="s">
        <v>0</v>
      </c>
      <c r="M30" s="124" t="s">
        <v>9</v>
      </c>
      <c r="N30" s="124" t="s">
        <v>2</v>
      </c>
      <c r="Q30" s="153" t="s">
        <v>63</v>
      </c>
      <c r="R30" s="85"/>
      <c r="S30" s="154"/>
      <c r="T30" s="22">
        <f>+T29+T28</f>
        <v>69925.421626794239</v>
      </c>
      <c r="U30" s="153" t="str">
        <f>+U29</f>
        <v>USD</v>
      </c>
      <c r="V30" s="146"/>
      <c r="W30" s="42"/>
    </row>
    <row r="31" spans="10:23" ht="15" x14ac:dyDescent="0.2">
      <c r="J31" s="119" t="s">
        <v>124</v>
      </c>
      <c r="K31" s="119"/>
      <c r="L31" s="111">
        <v>3246</v>
      </c>
      <c r="M31" s="111">
        <v>150</v>
      </c>
      <c r="N31" s="119">
        <f>+M31*L31</f>
        <v>486900</v>
      </c>
      <c r="Q31" s="146" t="s">
        <v>97</v>
      </c>
      <c r="R31" s="81"/>
      <c r="S31" s="142"/>
      <c r="T31" s="142"/>
      <c r="U31" s="142"/>
      <c r="V31" s="142"/>
      <c r="W31" s="99"/>
    </row>
    <row r="32" spans="10:23" ht="15" x14ac:dyDescent="0.2">
      <c r="J32" s="125" t="s">
        <v>125</v>
      </c>
      <c r="K32" s="125"/>
      <c r="L32" s="128">
        <v>5122</v>
      </c>
      <c r="M32" s="128">
        <v>300</v>
      </c>
      <c r="N32" s="125">
        <f>+M32*L32</f>
        <v>1536600</v>
      </c>
      <c r="Q32" s="146" t="s">
        <v>98</v>
      </c>
      <c r="R32" s="142"/>
      <c r="S32" s="142"/>
      <c r="T32" s="142"/>
      <c r="U32" s="142"/>
      <c r="V32" s="142"/>
      <c r="W32" s="99"/>
    </row>
    <row r="33" spans="10:23" ht="15" x14ac:dyDescent="0.2">
      <c r="J33" s="125" t="s">
        <v>127</v>
      </c>
      <c r="K33" s="125"/>
      <c r="L33" s="128">
        <f>7058+2692</f>
        <v>9750</v>
      </c>
      <c r="M33" s="128">
        <v>300</v>
      </c>
      <c r="N33" s="125">
        <f>+M33*L33</f>
        <v>2925000</v>
      </c>
      <c r="Q33" s="146" t="s">
        <v>99</v>
      </c>
      <c r="R33" s="142"/>
      <c r="S33" s="142"/>
      <c r="T33" s="142"/>
      <c r="U33" s="142"/>
      <c r="V33" s="142"/>
      <c r="W33" s="99"/>
    </row>
    <row r="34" spans="10:23" ht="15" x14ac:dyDescent="0.2">
      <c r="J34" s="125" t="s">
        <v>129</v>
      </c>
      <c r="K34" s="125"/>
      <c r="L34" s="128">
        <v>2502</v>
      </c>
      <c r="M34" s="128">
        <v>300</v>
      </c>
      <c r="N34" s="125">
        <f>+M34*L34</f>
        <v>750600</v>
      </c>
      <c r="Q34" s="146" t="s">
        <v>104</v>
      </c>
      <c r="R34" s="142"/>
      <c r="S34" s="142"/>
      <c r="T34" s="142"/>
      <c r="U34" s="142"/>
      <c r="V34" s="142"/>
      <c r="W34" s="99"/>
    </row>
    <row r="35" spans="10:23" ht="15" x14ac:dyDescent="0.2">
      <c r="J35" s="126" t="s">
        <v>10</v>
      </c>
      <c r="K35" s="126"/>
      <c r="L35" s="126">
        <f>SUM(L31:L34)</f>
        <v>20620</v>
      </c>
      <c r="M35" s="126">
        <f>+N35/L35</f>
        <v>276.38700290979631</v>
      </c>
      <c r="N35" s="126">
        <f>SUM(N31:N34)</f>
        <v>5699100</v>
      </c>
      <c r="Q35" s="146" t="s">
        <v>100</v>
      </c>
      <c r="R35" s="142"/>
      <c r="S35" s="142"/>
      <c r="T35" s="142"/>
      <c r="U35" s="142"/>
      <c r="V35" s="142"/>
      <c r="W35" s="99"/>
    </row>
    <row r="36" spans="10:23" ht="15" x14ac:dyDescent="0.2">
      <c r="J36" s="122"/>
      <c r="K36" s="122"/>
      <c r="L36" s="122"/>
      <c r="M36" s="122"/>
      <c r="N36" s="122"/>
      <c r="Q36" s="81"/>
      <c r="R36" s="81"/>
      <c r="S36" s="81"/>
      <c r="T36" s="81"/>
      <c r="U36" s="81"/>
      <c r="V36" s="81"/>
      <c r="W36" s="99"/>
    </row>
    <row r="37" spans="10:23" ht="15" x14ac:dyDescent="0.2">
      <c r="J37" s="127" t="s">
        <v>35</v>
      </c>
      <c r="K37" s="129">
        <v>0.15</v>
      </c>
      <c r="L37" s="127"/>
      <c r="M37" s="127"/>
      <c r="N37" s="127">
        <f>+N35*K37</f>
        <v>854865</v>
      </c>
      <c r="Q37" s="115" t="s">
        <v>112</v>
      </c>
      <c r="R37" s="2"/>
      <c r="S37" s="2"/>
      <c r="T37" s="2"/>
      <c r="U37" s="2"/>
      <c r="V37" s="81"/>
      <c r="W37" s="99"/>
    </row>
    <row r="38" spans="10:23" x14ac:dyDescent="0.2">
      <c r="Q38" s="52" t="s">
        <v>108</v>
      </c>
      <c r="R38" s="52"/>
      <c r="S38" s="52"/>
      <c r="T38" s="52">
        <f>+M6</f>
        <v>200</v>
      </c>
      <c r="U38" s="52" t="s">
        <v>20</v>
      </c>
      <c r="V38" s="81"/>
      <c r="W38" s="81"/>
    </row>
    <row r="39" spans="10:23" x14ac:dyDescent="0.2">
      <c r="J39" s="126" t="s">
        <v>1</v>
      </c>
      <c r="K39" s="127"/>
      <c r="L39" s="126">
        <f>+L35</f>
        <v>20620</v>
      </c>
      <c r="M39" s="126">
        <f>+N39/L39</f>
        <v>317.84505334626579</v>
      </c>
      <c r="N39" s="126">
        <f>+N37+N35</f>
        <v>6553965</v>
      </c>
      <c r="Q39" s="54" t="s">
        <v>54</v>
      </c>
      <c r="R39" s="54"/>
      <c r="S39" s="60">
        <v>30</v>
      </c>
      <c r="T39" s="54">
        <f>+T38*S39</f>
        <v>6000</v>
      </c>
      <c r="U39" s="54" t="s">
        <v>0</v>
      </c>
      <c r="V39" s="81"/>
      <c r="W39" s="81"/>
    </row>
    <row r="40" spans="10:23" x14ac:dyDescent="0.2">
      <c r="J40" s="8" t="s">
        <v>126</v>
      </c>
      <c r="K40" s="97"/>
      <c r="L40" s="97"/>
      <c r="M40" s="97"/>
      <c r="N40" s="97"/>
      <c r="Q40" s="2"/>
      <c r="R40" s="2"/>
      <c r="S40" s="2"/>
      <c r="T40" s="2"/>
      <c r="U40" s="2"/>
      <c r="V40" s="81"/>
      <c r="W40" s="81"/>
    </row>
    <row r="41" spans="10:23" x14ac:dyDescent="0.2">
      <c r="J41" s="8" t="s">
        <v>37</v>
      </c>
      <c r="K41" s="97"/>
      <c r="L41" s="97"/>
      <c r="M41" s="97"/>
      <c r="N41" s="97"/>
      <c r="Q41" s="52" t="s">
        <v>117</v>
      </c>
      <c r="R41" s="52"/>
      <c r="S41" s="53">
        <v>20</v>
      </c>
      <c r="T41" s="52">
        <f>+T39*S41</f>
        <v>120000</v>
      </c>
      <c r="U41" s="52" t="s">
        <v>2</v>
      </c>
      <c r="V41" s="81"/>
      <c r="W41" s="81"/>
    </row>
    <row r="42" spans="10:23" x14ac:dyDescent="0.2">
      <c r="Q42" s="54" t="s">
        <v>118</v>
      </c>
      <c r="R42" s="54"/>
      <c r="S42" s="59">
        <v>0.15</v>
      </c>
      <c r="T42" s="54">
        <f>+T41*S42</f>
        <v>18000</v>
      </c>
      <c r="U42" s="54" t="s">
        <v>2</v>
      </c>
      <c r="V42" s="81"/>
      <c r="W42" s="81"/>
    </row>
    <row r="43" spans="10:23" x14ac:dyDescent="0.2">
      <c r="Q43" s="51" t="s">
        <v>39</v>
      </c>
      <c r="R43" s="51"/>
      <c r="S43" s="51"/>
      <c r="T43" s="51">
        <f>+T42+T41</f>
        <v>138000</v>
      </c>
      <c r="U43" s="51" t="s">
        <v>36</v>
      </c>
      <c r="V43" s="81"/>
      <c r="W43" s="81"/>
    </row>
    <row r="44" spans="10:23" x14ac:dyDescent="0.2">
      <c r="Q44" s="2"/>
      <c r="R44" s="2"/>
      <c r="S44" s="2"/>
      <c r="T44" s="2"/>
      <c r="U44" s="2"/>
      <c r="V44" s="81"/>
      <c r="W44" s="81"/>
    </row>
    <row r="45" spans="10:23" x14ac:dyDescent="0.2">
      <c r="Q45" s="56" t="s">
        <v>109</v>
      </c>
      <c r="R45" s="56"/>
      <c r="S45" s="56"/>
      <c r="T45" s="56">
        <f>+M5</f>
        <v>87.318000000000012</v>
      </c>
      <c r="U45" s="56" t="s">
        <v>20</v>
      </c>
      <c r="V45" s="81"/>
      <c r="W45" s="81"/>
    </row>
    <row r="46" spans="10:23" x14ac:dyDescent="0.2">
      <c r="Q46" s="120" t="s">
        <v>120</v>
      </c>
      <c r="R46" s="120"/>
      <c r="S46" s="120"/>
      <c r="T46" s="120">
        <f>+T38-T45</f>
        <v>112.68199999999999</v>
      </c>
      <c r="U46" s="120" t="s">
        <v>20</v>
      </c>
      <c r="V46" s="156">
        <f>+'[7]Resid - Datos'!$B$33-'[7]Resid - Datos'!$D$33</f>
        <v>111.99999999999999</v>
      </c>
      <c r="W46" s="81"/>
    </row>
    <row r="47" spans="10:23" x14ac:dyDescent="0.2">
      <c r="Q47" s="6" t="s">
        <v>121</v>
      </c>
      <c r="R47" s="2"/>
      <c r="S47" s="2"/>
      <c r="T47" s="2"/>
      <c r="U47" s="2"/>
      <c r="V47" s="156" t="s">
        <v>141</v>
      </c>
      <c r="W47" s="81"/>
    </row>
    <row r="48" spans="10:23" x14ac:dyDescent="0.2">
      <c r="Q48" s="6" t="s">
        <v>110</v>
      </c>
      <c r="R48" s="2"/>
      <c r="S48" s="2"/>
      <c r="T48" s="2"/>
      <c r="U48" s="2"/>
      <c r="V48" s="81"/>
      <c r="W48" s="81"/>
    </row>
    <row r="49" spans="1:23" x14ac:dyDescent="0.2">
      <c r="Q49" s="2"/>
      <c r="R49" s="2"/>
      <c r="S49" s="2"/>
      <c r="T49" s="2"/>
      <c r="U49" s="2"/>
      <c r="V49" s="81"/>
      <c r="W49" s="81"/>
    </row>
    <row r="50" spans="1:23" x14ac:dyDescent="0.2">
      <c r="Q50" s="115" t="s">
        <v>119</v>
      </c>
      <c r="R50" s="2"/>
      <c r="S50" s="2"/>
      <c r="T50" s="2"/>
      <c r="U50" s="2"/>
      <c r="V50" s="81"/>
      <c r="W50" s="81"/>
    </row>
    <row r="51" spans="1:23" x14ac:dyDescent="0.2">
      <c r="Q51" s="52" t="s">
        <v>55</v>
      </c>
      <c r="R51" s="52"/>
      <c r="S51" s="52"/>
      <c r="T51" s="53">
        <v>1500</v>
      </c>
      <c r="U51" s="117" t="s">
        <v>57</v>
      </c>
      <c r="V51" s="81"/>
      <c r="W51" s="81"/>
    </row>
    <row r="52" spans="1:23" x14ac:dyDescent="0.2">
      <c r="Q52" s="57"/>
      <c r="R52" s="57"/>
      <c r="S52" s="57"/>
      <c r="T52" s="57">
        <f>+T51/(1+T19)</f>
        <v>1239.6694214876034</v>
      </c>
      <c r="U52" s="116" t="s">
        <v>58</v>
      </c>
      <c r="V52" s="81"/>
      <c r="W52" s="81"/>
    </row>
    <row r="53" spans="1:23" x14ac:dyDescent="0.2">
      <c r="J53" s="81"/>
      <c r="K53" s="81"/>
      <c r="L53" s="81"/>
      <c r="M53" s="81"/>
      <c r="N53" s="81"/>
      <c r="O53" s="81"/>
      <c r="Q53" s="54"/>
      <c r="R53" s="54"/>
      <c r="S53" s="54"/>
      <c r="T53" s="54">
        <f>+T52/T18</f>
        <v>32.622879512831666</v>
      </c>
      <c r="U53" s="118" t="s">
        <v>14</v>
      </c>
      <c r="V53" s="81"/>
      <c r="W53" s="81"/>
    </row>
    <row r="54" spans="1:23" x14ac:dyDescent="0.2">
      <c r="Q54" s="55" t="s">
        <v>122</v>
      </c>
      <c r="R54" s="55"/>
      <c r="S54" s="55"/>
      <c r="T54" s="58">
        <v>0.85</v>
      </c>
      <c r="U54" s="55"/>
      <c r="V54" s="81"/>
      <c r="W54" s="81"/>
    </row>
    <row r="55" spans="1:23" x14ac:dyDescent="0.2">
      <c r="J55" s="28" t="s">
        <v>158</v>
      </c>
      <c r="K55" s="81"/>
      <c r="L55" s="81"/>
      <c r="M55" s="81"/>
      <c r="N55" s="81"/>
      <c r="O55" s="81"/>
      <c r="Q55" s="2"/>
      <c r="R55" s="2"/>
      <c r="S55" s="2"/>
      <c r="T55" s="2"/>
      <c r="U55" s="2"/>
      <c r="V55" s="81"/>
      <c r="W55" s="81"/>
    </row>
    <row r="56" spans="1:23" s="81" customFormat="1" x14ac:dyDescent="0.2">
      <c r="J56" s="244"/>
      <c r="K56" s="244"/>
      <c r="L56" s="159" t="s">
        <v>0</v>
      </c>
      <c r="M56" s="159" t="s">
        <v>148</v>
      </c>
      <c r="N56" s="159" t="s">
        <v>2</v>
      </c>
      <c r="O56" s="8" t="s">
        <v>169</v>
      </c>
      <c r="Q56" s="52" t="s">
        <v>59</v>
      </c>
      <c r="R56" s="52"/>
      <c r="S56" s="52"/>
      <c r="T56" s="52">
        <f>+T53*12*T46*T54</f>
        <v>37495.315354501952</v>
      </c>
      <c r="U56" s="52" t="s">
        <v>2</v>
      </c>
    </row>
    <row r="57" spans="1:23" s="81" customFormat="1" x14ac:dyDescent="0.2">
      <c r="J57" s="245" t="s">
        <v>160</v>
      </c>
      <c r="K57" s="245"/>
      <c r="L57" s="169">
        <f>+C70+D70+E70+F70+G70+H70+I70+J70+'[7]Resid - Datos'!$E$33-2110</f>
        <v>45036</v>
      </c>
      <c r="M57" s="169">
        <v>150</v>
      </c>
      <c r="N57" s="245">
        <f>+M57*L57</f>
        <v>6755400</v>
      </c>
      <c r="O57" s="8">
        <f>+L57-'[7]Resid - Datos'!$E$33</f>
        <v>25712</v>
      </c>
      <c r="Q57" s="54" t="s">
        <v>60</v>
      </c>
      <c r="R57" s="54"/>
      <c r="S57" s="59">
        <v>0.2</v>
      </c>
      <c r="T57" s="54">
        <f>-T56*S57</f>
        <v>-7499.0630709003908</v>
      </c>
      <c r="U57" s="54" t="s">
        <v>2</v>
      </c>
    </row>
    <row r="58" spans="1:23" s="81" customFormat="1" x14ac:dyDescent="0.2">
      <c r="A58" s="100"/>
      <c r="B58" s="97"/>
      <c r="C58" s="97"/>
      <c r="J58" s="170" t="s">
        <v>161</v>
      </c>
      <c r="K58" s="166">
        <v>1</v>
      </c>
      <c r="L58" s="246">
        <f>(+[8]Hoja1!$G$37-L57)*K58</f>
        <v>121972.11570697269</v>
      </c>
      <c r="M58" s="246">
        <v>400</v>
      </c>
      <c r="N58" s="170">
        <f>+M58*L58</f>
        <v>48788846.282789074</v>
      </c>
      <c r="O58" s="8">
        <f>+L58+'[7]Resid - Datos'!$E$33</f>
        <v>141296.11570697269</v>
      </c>
      <c r="Q58" s="61" t="s">
        <v>63</v>
      </c>
      <c r="R58" s="51"/>
      <c r="S58" s="51"/>
      <c r="T58" s="51">
        <f>+T57+T56</f>
        <v>29996.252283601563</v>
      </c>
      <c r="U58" s="51" t="s">
        <v>2</v>
      </c>
    </row>
    <row r="59" spans="1:23" s="81" customFormat="1" ht="15" x14ac:dyDescent="0.2">
      <c r="A59" s="176"/>
      <c r="B59" s="97"/>
      <c r="C59" s="97"/>
      <c r="J59" s="8" t="s">
        <v>159</v>
      </c>
      <c r="Q59" s="6" t="s">
        <v>56</v>
      </c>
      <c r="R59" s="2"/>
      <c r="S59" s="2"/>
      <c r="T59" s="2"/>
      <c r="U59" s="2"/>
    </row>
    <row r="60" spans="1:23" s="81" customFormat="1" ht="15" x14ac:dyDescent="0.2">
      <c r="A60" s="176"/>
      <c r="B60" s="97"/>
      <c r="C60" s="97"/>
      <c r="L60" s="156">
        <f>3*'[7]Resid - Datos'!$E$33</f>
        <v>57972</v>
      </c>
      <c r="M60" s="156" t="s">
        <v>162</v>
      </c>
      <c r="O60" s="97">
        <f>4*'[7]Resid - Datos'!$E$33</f>
        <v>77296</v>
      </c>
      <c r="Q60" s="121" t="s">
        <v>62</v>
      </c>
      <c r="R60" s="2"/>
      <c r="S60" s="2"/>
      <c r="T60" s="2"/>
      <c r="U60" s="2"/>
    </row>
    <row r="61" spans="1:23" s="81" customFormat="1" ht="15" x14ac:dyDescent="0.2">
      <c r="A61" s="176"/>
      <c r="B61" s="97"/>
      <c r="C61" s="97"/>
      <c r="L61" s="249">
        <f>+L60/L58</f>
        <v>0.47528895980842578</v>
      </c>
      <c r="O61" s="255">
        <f>+O60/O58</f>
        <v>0.54704971621654841</v>
      </c>
      <c r="Q61" s="6" t="s">
        <v>142</v>
      </c>
      <c r="R61" s="2"/>
      <c r="S61" s="2"/>
      <c r="T61" s="2"/>
      <c r="U61" s="2"/>
    </row>
    <row r="62" spans="1:23" s="81" customFormat="1" ht="15" x14ac:dyDescent="0.2">
      <c r="A62" s="176"/>
      <c r="B62" s="97"/>
      <c r="C62" s="97"/>
    </row>
    <row r="63" spans="1:23" s="81" customFormat="1" ht="15" x14ac:dyDescent="0.2">
      <c r="A63" s="176"/>
      <c r="B63" s="97"/>
      <c r="C63" s="97"/>
    </row>
    <row r="64" spans="1:23" s="81" customFormat="1" ht="15" x14ac:dyDescent="0.2">
      <c r="A64" s="176"/>
      <c r="B64" s="97"/>
      <c r="C64" s="97"/>
      <c r="E64" s="228"/>
    </row>
    <row r="65" spans="1:13" s="81" customFormat="1" ht="15" x14ac:dyDescent="0.2">
      <c r="A65" s="176"/>
      <c r="B65" s="97"/>
      <c r="C65" s="97"/>
      <c r="E65" s="228"/>
      <c r="I65" s="81">
        <f>+C70+D70+E70+F70+G70</f>
        <v>9537</v>
      </c>
    </row>
    <row r="66" spans="1:13" s="81" customFormat="1" x14ac:dyDescent="0.2">
      <c r="I66" s="81">
        <f>+I70-91</f>
        <v>717</v>
      </c>
    </row>
    <row r="67" spans="1:13" s="81" customFormat="1" x14ac:dyDescent="0.2">
      <c r="A67" s="28"/>
      <c r="I67" s="228">
        <f>+I66/I65</f>
        <v>7.5180874488832969E-2</v>
      </c>
    </row>
    <row r="68" spans="1:13" s="81" customFormat="1" x14ac:dyDescent="0.2">
      <c r="A68" s="543" t="s">
        <v>3</v>
      </c>
      <c r="B68" s="543"/>
      <c r="C68" s="187" t="s">
        <v>68</v>
      </c>
      <c r="D68" s="159" t="s">
        <v>69</v>
      </c>
      <c r="E68" s="159" t="s">
        <v>75</v>
      </c>
      <c r="F68" s="159" t="s">
        <v>138</v>
      </c>
      <c r="G68" s="177" t="s">
        <v>74</v>
      </c>
      <c r="H68" s="114" t="s">
        <v>114</v>
      </c>
      <c r="I68" s="188" t="s">
        <v>52</v>
      </c>
      <c r="J68" s="210" t="s">
        <v>154</v>
      </c>
      <c r="K68" s="216" t="s">
        <v>131</v>
      </c>
      <c r="L68" s="543" t="s">
        <v>1</v>
      </c>
      <c r="M68" s="543"/>
    </row>
    <row r="69" spans="1:13" s="81" customFormat="1" x14ac:dyDescent="0.2">
      <c r="A69" s="237" t="s">
        <v>48</v>
      </c>
      <c r="B69" s="98"/>
      <c r="C69" s="189"/>
      <c r="D69" s="160" t="s">
        <v>70</v>
      </c>
      <c r="E69" s="161">
        <v>1</v>
      </c>
      <c r="F69" s="160"/>
      <c r="G69" s="178" t="s">
        <v>115</v>
      </c>
      <c r="H69" s="84"/>
      <c r="I69" s="190"/>
      <c r="J69" s="211" t="s">
        <v>155</v>
      </c>
      <c r="K69" s="217"/>
      <c r="L69" s="98"/>
      <c r="M69" s="98"/>
    </row>
    <row r="70" spans="1:13" s="81" customFormat="1" x14ac:dyDescent="0.2">
      <c r="A70" s="92" t="s">
        <v>38</v>
      </c>
      <c r="B70" s="92"/>
      <c r="C70" s="191">
        <v>1409</v>
      </c>
      <c r="D70" s="162">
        <v>1551</v>
      </c>
      <c r="E70" s="162">
        <f>+E69*6*223</f>
        <v>1338</v>
      </c>
      <c r="F70" s="162">
        <v>1463</v>
      </c>
      <c r="G70" s="179">
        <v>3776</v>
      </c>
      <c r="H70" s="24">
        <f>+T2+T6</f>
        <v>12626</v>
      </c>
      <c r="I70" s="192">
        <f>16567+91-C70-D70-E70-F70-G70-T2</f>
        <v>808</v>
      </c>
      <c r="J70" s="212">
        <f>+M2</f>
        <v>4851</v>
      </c>
      <c r="K70" s="218">
        <f>+T39</f>
        <v>6000</v>
      </c>
      <c r="L70" s="1">
        <f>SUM(C70:K70)</f>
        <v>33822</v>
      </c>
      <c r="M70" s="1" t="s">
        <v>0</v>
      </c>
    </row>
    <row r="71" spans="1:13" s="81" customFormat="1" x14ac:dyDescent="0.2">
      <c r="A71" s="93" t="s">
        <v>18</v>
      </c>
      <c r="B71" s="94">
        <v>1</v>
      </c>
      <c r="C71" s="193">
        <f>+C70*$B$71</f>
        <v>1409</v>
      </c>
      <c r="D71" s="163">
        <f t="shared" ref="D71:F71" si="0">+D70*$B$71</f>
        <v>1551</v>
      </c>
      <c r="E71" s="163">
        <f t="shared" si="0"/>
        <v>1338</v>
      </c>
      <c r="F71" s="163">
        <f t="shared" si="0"/>
        <v>1463</v>
      </c>
      <c r="G71" s="180">
        <f>+G70</f>
        <v>3776</v>
      </c>
      <c r="H71" s="84"/>
      <c r="I71" s="194"/>
      <c r="J71" s="213">
        <f>+M3</f>
        <v>4365.9000000000005</v>
      </c>
      <c r="K71" s="219"/>
      <c r="L71" s="3">
        <f>SUM(C71:K71)</f>
        <v>13902.900000000001</v>
      </c>
      <c r="M71" s="3" t="s">
        <v>0</v>
      </c>
    </row>
    <row r="72" spans="1:13" s="81" customFormat="1" x14ac:dyDescent="0.2">
      <c r="H72" s="83"/>
    </row>
    <row r="73" spans="1:13" s="81" customFormat="1" x14ac:dyDescent="0.2">
      <c r="A73" s="1" t="s">
        <v>22</v>
      </c>
      <c r="B73" s="90"/>
      <c r="C73" s="195">
        <v>0</v>
      </c>
      <c r="D73" s="164">
        <v>0.05</v>
      </c>
      <c r="E73" s="164">
        <v>0.05</v>
      </c>
      <c r="F73" s="164">
        <v>0.05</v>
      </c>
      <c r="G73" s="181">
        <v>0</v>
      </c>
      <c r="H73" s="86"/>
      <c r="I73" s="196"/>
      <c r="J73" s="232">
        <f>+M8</f>
        <v>0.05</v>
      </c>
      <c r="K73" s="220"/>
      <c r="L73" s="1"/>
      <c r="M73" s="1"/>
    </row>
    <row r="74" spans="1:13" s="81" customFormat="1" x14ac:dyDescent="0.2">
      <c r="A74" s="2" t="s">
        <v>71</v>
      </c>
      <c r="B74" s="91"/>
      <c r="C74" s="226">
        <v>10</v>
      </c>
      <c r="D74" s="227">
        <v>10</v>
      </c>
      <c r="E74" s="227">
        <v>30</v>
      </c>
      <c r="F74" s="227">
        <v>23</v>
      </c>
      <c r="G74" s="231">
        <v>5.5</v>
      </c>
      <c r="H74" s="113"/>
      <c r="I74" s="197"/>
      <c r="J74" s="233">
        <f>+M9</f>
        <v>8</v>
      </c>
      <c r="K74" s="221"/>
      <c r="L74" s="96">
        <f>+L77/L71/12</f>
        <v>9.817975232447882</v>
      </c>
      <c r="M74" s="2" t="s">
        <v>23</v>
      </c>
    </row>
    <row r="75" spans="1:13" s="81" customFormat="1" x14ac:dyDescent="0.2">
      <c r="A75" s="2" t="s">
        <v>26</v>
      </c>
      <c r="B75" s="91"/>
      <c r="C75" s="198">
        <v>0.2</v>
      </c>
      <c r="D75" s="165">
        <v>0.2</v>
      </c>
      <c r="E75" s="165">
        <v>0.2</v>
      </c>
      <c r="F75" s="165">
        <v>0.2</v>
      </c>
      <c r="G75" s="182">
        <v>0.2</v>
      </c>
      <c r="H75" s="113"/>
      <c r="I75" s="197"/>
      <c r="J75" s="234">
        <f>+M10</f>
        <v>0.15</v>
      </c>
      <c r="K75" s="221"/>
      <c r="L75" s="2"/>
      <c r="M75" s="2"/>
    </row>
    <row r="76" spans="1:13" s="81" customFormat="1" x14ac:dyDescent="0.2">
      <c r="A76" s="3" t="s">
        <v>29</v>
      </c>
      <c r="B76" s="88"/>
      <c r="C76" s="199">
        <v>0</v>
      </c>
      <c r="D76" s="166">
        <v>0</v>
      </c>
      <c r="E76" s="166">
        <v>0.05</v>
      </c>
      <c r="F76" s="166">
        <v>0.05</v>
      </c>
      <c r="G76" s="183">
        <v>0</v>
      </c>
      <c r="H76" s="84"/>
      <c r="I76" s="194"/>
      <c r="J76" s="235">
        <f>+M11</f>
        <v>0.05</v>
      </c>
      <c r="K76" s="222"/>
      <c r="L76" s="3"/>
      <c r="M76" s="3"/>
    </row>
    <row r="77" spans="1:13" s="81" customFormat="1" x14ac:dyDescent="0.2">
      <c r="A77" s="95" t="s">
        <v>72</v>
      </c>
      <c r="B77" s="9"/>
      <c r="C77" s="200">
        <f>+C71*C74*(1-C73)*(1-C75)*(1+C76)*12</f>
        <v>135264</v>
      </c>
      <c r="D77" s="167">
        <f>+D71*D74*(1-D73)*(1-D75)*(1+D76)*12</f>
        <v>141451.20000000001</v>
      </c>
      <c r="E77" s="167">
        <f>+E71*E74*(1-E73)*(1-E75)*(1+E76)*12</f>
        <v>384380.64</v>
      </c>
      <c r="F77" s="167">
        <f>+F71*F74*(1-F73)*(1-F75)*(1+F76)*12</f>
        <v>322222.82400000002</v>
      </c>
      <c r="G77" s="184">
        <f>+G71*G74*(1-G73)*(1-G75)*(1+G76)*12</f>
        <v>199372.80000000002</v>
      </c>
      <c r="H77" s="201">
        <f>+T30</f>
        <v>69925.421626794239</v>
      </c>
      <c r="I77" s="202"/>
      <c r="J77" s="29">
        <f>+J71*J74*(1-J73)*(1-J75)*(1+J76)*12</f>
        <v>355366.79640000005</v>
      </c>
      <c r="K77" s="224">
        <f>+T58</f>
        <v>29996.252283601563</v>
      </c>
      <c r="L77" s="10">
        <f>SUM(C77:K77)</f>
        <v>1637979.934310396</v>
      </c>
      <c r="M77" s="10" t="s">
        <v>28</v>
      </c>
    </row>
    <row r="78" spans="1:13" s="81" customFormat="1" x14ac:dyDescent="0.2">
      <c r="A78" s="10" t="s">
        <v>73</v>
      </c>
      <c r="B78" s="236" t="s">
        <v>156</v>
      </c>
      <c r="C78" s="203"/>
      <c r="D78" s="168"/>
      <c r="E78" s="229">
        <f>+E77*0.1</f>
        <v>38438.064000000006</v>
      </c>
      <c r="F78" s="229">
        <f>+F77*0.1</f>
        <v>32222.282400000004</v>
      </c>
      <c r="G78" s="185"/>
      <c r="H78" s="85"/>
      <c r="I78" s="202"/>
      <c r="J78" s="214"/>
      <c r="K78" s="223"/>
      <c r="L78" s="10">
        <f>SUM(C78:K78)</f>
        <v>70660.346400000009</v>
      </c>
      <c r="M78" s="10" t="s">
        <v>28</v>
      </c>
    </row>
    <row r="79" spans="1:13" s="81" customFormat="1" x14ac:dyDescent="0.2"/>
    <row r="80" spans="1:13" s="81" customFormat="1" x14ac:dyDescent="0.2">
      <c r="A80" s="1" t="s">
        <v>43</v>
      </c>
      <c r="B80" s="90"/>
      <c r="C80" s="204">
        <v>300</v>
      </c>
      <c r="D80" s="169">
        <v>300</v>
      </c>
      <c r="E80" s="169">
        <v>400</v>
      </c>
      <c r="F80" s="169">
        <v>350</v>
      </c>
      <c r="G80" s="179">
        <v>100</v>
      </c>
      <c r="H80" s="24">
        <f>+H81/H70</f>
        <v>200</v>
      </c>
      <c r="I80" s="205">
        <v>300</v>
      </c>
      <c r="J80" s="212">
        <f>+L14</f>
        <v>50</v>
      </c>
      <c r="K80" s="218">
        <f>+S41</f>
        <v>20</v>
      </c>
      <c r="L80" s="1">
        <f>+L81/L70</f>
        <v>160.93075512979718</v>
      </c>
      <c r="M80" s="1" t="s">
        <v>9</v>
      </c>
    </row>
    <row r="81" spans="1:13" s="81" customFormat="1" x14ac:dyDescent="0.2">
      <c r="A81" s="3"/>
      <c r="B81" s="88"/>
      <c r="C81" s="206">
        <f>+C80*C70</f>
        <v>422700</v>
      </c>
      <c r="D81" s="170">
        <f>+D80*D70</f>
        <v>465300</v>
      </c>
      <c r="E81" s="170">
        <f t="shared" ref="E81:I81" si="1">+E80*E70</f>
        <v>535200</v>
      </c>
      <c r="F81" s="170">
        <f t="shared" ref="F81" si="2">+F80*F70</f>
        <v>512050</v>
      </c>
      <c r="G81" s="180">
        <f t="shared" si="1"/>
        <v>377600</v>
      </c>
      <c r="H81" s="26">
        <f>+T5*T2+T6*T9</f>
        <v>2525200</v>
      </c>
      <c r="I81" s="190">
        <f t="shared" si="1"/>
        <v>242400</v>
      </c>
      <c r="J81" s="213">
        <f>+J80*J70</f>
        <v>242550</v>
      </c>
      <c r="K81" s="219">
        <f>+K80*K70</f>
        <v>120000</v>
      </c>
      <c r="L81" s="3">
        <f>SUM(C81:K81)</f>
        <v>5443000</v>
      </c>
      <c r="M81" s="3" t="s">
        <v>36</v>
      </c>
    </row>
    <row r="82" spans="1:13" s="81" customFormat="1" x14ac:dyDescent="0.2">
      <c r="A82" s="1" t="s">
        <v>44</v>
      </c>
      <c r="B82" s="90"/>
      <c r="C82" s="195">
        <v>0.15</v>
      </c>
      <c r="D82" s="164">
        <v>0.15</v>
      </c>
      <c r="E82" s="164">
        <v>0.15</v>
      </c>
      <c r="F82" s="164">
        <v>0.15</v>
      </c>
      <c r="G82" s="181">
        <v>0.15</v>
      </c>
      <c r="H82" s="27">
        <v>0.15</v>
      </c>
      <c r="I82" s="207">
        <v>0.15</v>
      </c>
      <c r="J82" s="232">
        <f>+L15</f>
        <v>0.15</v>
      </c>
      <c r="K82" s="247">
        <f>+S42</f>
        <v>0.15</v>
      </c>
      <c r="L82" s="1">
        <f>+L83/L70</f>
        <v>24.139613269469574</v>
      </c>
      <c r="M82" s="1" t="s">
        <v>9</v>
      </c>
    </row>
    <row r="83" spans="1:13" s="81" customFormat="1" x14ac:dyDescent="0.2">
      <c r="A83" s="3"/>
      <c r="B83" s="88"/>
      <c r="C83" s="206">
        <f>+C82*C81</f>
        <v>63405</v>
      </c>
      <c r="D83" s="170">
        <f>+D82*D81</f>
        <v>69795</v>
      </c>
      <c r="E83" s="170">
        <f t="shared" ref="E83:I83" si="3">+E82*E81</f>
        <v>80280</v>
      </c>
      <c r="F83" s="170">
        <f t="shared" ref="F83" si="4">+F82*F81</f>
        <v>76807.5</v>
      </c>
      <c r="G83" s="180">
        <f t="shared" si="3"/>
        <v>56640</v>
      </c>
      <c r="H83" s="26">
        <f t="shared" si="3"/>
        <v>378780</v>
      </c>
      <c r="I83" s="190">
        <f t="shared" si="3"/>
        <v>36360</v>
      </c>
      <c r="J83" s="213">
        <f>+J82*J81</f>
        <v>36382.5</v>
      </c>
      <c r="K83" s="219">
        <f>+K82*K81</f>
        <v>18000</v>
      </c>
      <c r="L83" s="3">
        <f>SUM(C83:K83)</f>
        <v>816450</v>
      </c>
      <c r="M83" s="3" t="s">
        <v>36</v>
      </c>
    </row>
    <row r="84" spans="1:13" s="81" customFormat="1" x14ac:dyDescent="0.2">
      <c r="A84" s="10" t="s">
        <v>123</v>
      </c>
      <c r="B84" s="87"/>
      <c r="C84" s="208">
        <f>+C83+C81</f>
        <v>486105</v>
      </c>
      <c r="D84" s="171">
        <f>+D83+D81</f>
        <v>535095</v>
      </c>
      <c r="E84" s="171">
        <f t="shared" ref="E84:I84" si="5">+E83+E81</f>
        <v>615480</v>
      </c>
      <c r="F84" s="171">
        <f t="shared" ref="F84" si="6">+F83+F81</f>
        <v>588857.5</v>
      </c>
      <c r="G84" s="186">
        <f t="shared" si="5"/>
        <v>434240</v>
      </c>
      <c r="H84" s="22">
        <f t="shared" si="5"/>
        <v>2903980</v>
      </c>
      <c r="I84" s="209">
        <f t="shared" si="5"/>
        <v>278760</v>
      </c>
      <c r="J84" s="215">
        <f>+J83+J81</f>
        <v>278932.5</v>
      </c>
      <c r="K84" s="224">
        <f>+K83+K81</f>
        <v>138000</v>
      </c>
      <c r="L84" s="10">
        <f>+L83+L81</f>
        <v>6259450</v>
      </c>
      <c r="M84" s="10" t="s">
        <v>36</v>
      </c>
    </row>
    <row r="85" spans="1:13" s="81" customFormat="1" x14ac:dyDescent="0.2">
      <c r="A85" s="100" t="s">
        <v>40</v>
      </c>
      <c r="B85" s="100"/>
      <c r="C85" s="100">
        <f>+C84/(C77+C78)</f>
        <v>3.59375</v>
      </c>
      <c r="D85" s="100">
        <f t="shared" ref="D85:L85" si="7">+D84/(D77+D78)</f>
        <v>3.7828947368421049</v>
      </c>
      <c r="E85" s="100">
        <f t="shared" si="7"/>
        <v>1.4556593503961923</v>
      </c>
      <c r="F85" s="100">
        <f t="shared" si="7"/>
        <v>1.6613503455608716</v>
      </c>
      <c r="G85" s="100">
        <f t="shared" si="7"/>
        <v>2.1780303030303028</v>
      </c>
      <c r="H85" s="100"/>
      <c r="I85" s="100"/>
      <c r="J85" s="100">
        <f t="shared" si="7"/>
        <v>0.78491435560578993</v>
      </c>
      <c r="K85" s="100">
        <f t="shared" si="7"/>
        <v>4.6005747216442181</v>
      </c>
      <c r="L85" s="101">
        <f t="shared" si="7"/>
        <v>3.6634100639354754</v>
      </c>
      <c r="M85" s="100" t="s">
        <v>41</v>
      </c>
    </row>
    <row r="86" spans="1:13" s="81" customFormat="1" x14ac:dyDescent="0.2"/>
    <row r="87" spans="1:13" s="81" customFormat="1" x14ac:dyDescent="0.2">
      <c r="A87" s="8" t="s">
        <v>113</v>
      </c>
    </row>
    <row r="88" spans="1:13" s="81" customFormat="1" x14ac:dyDescent="0.2">
      <c r="A88" s="8" t="s">
        <v>32</v>
      </c>
      <c r="J88" s="155"/>
    </row>
    <row r="89" spans="1:13" s="81" customFormat="1" x14ac:dyDescent="0.2">
      <c r="A89" s="8" t="s">
        <v>42</v>
      </c>
    </row>
    <row r="90" spans="1:13" s="81" customFormat="1" x14ac:dyDescent="0.2">
      <c r="A90" s="8" t="s">
        <v>31</v>
      </c>
    </row>
    <row r="91" spans="1:13" s="81" customFormat="1" x14ac:dyDescent="0.2">
      <c r="A91" s="8" t="s">
        <v>25</v>
      </c>
      <c r="G91" s="230"/>
    </row>
    <row r="92" spans="1:13" s="81" customFormat="1" x14ac:dyDescent="0.2">
      <c r="A92" s="8" t="s">
        <v>116</v>
      </c>
      <c r="B92" s="97"/>
      <c r="C92" s="97"/>
      <c r="D92" s="97"/>
      <c r="E92" s="97"/>
      <c r="F92" s="97"/>
    </row>
    <row r="93" spans="1:13" s="81" customFormat="1" x14ac:dyDescent="0.2">
      <c r="A93" s="8" t="s">
        <v>153</v>
      </c>
      <c r="B93" s="97"/>
      <c r="C93" s="97"/>
      <c r="D93" s="97"/>
      <c r="E93" s="97"/>
      <c r="F93" s="97"/>
    </row>
    <row r="94" spans="1:13" s="81" customFormat="1" x14ac:dyDescent="0.2">
      <c r="A94" s="8" t="s">
        <v>152</v>
      </c>
      <c r="B94" s="97"/>
      <c r="C94" s="97"/>
      <c r="D94" s="97"/>
      <c r="E94" s="97"/>
      <c r="F94" s="97"/>
    </row>
    <row r="95" spans="1:13" s="81" customFormat="1" x14ac:dyDescent="0.2">
      <c r="A95" s="8" t="s">
        <v>140</v>
      </c>
      <c r="B95" s="97"/>
      <c r="C95" s="97"/>
      <c r="D95" s="97"/>
      <c r="E95" s="97"/>
      <c r="F95" s="97"/>
    </row>
    <row r="96" spans="1:13" s="81" customFormat="1" x14ac:dyDescent="0.2">
      <c r="A96" s="8" t="s">
        <v>139</v>
      </c>
      <c r="B96" s="97"/>
      <c r="C96" s="97"/>
      <c r="D96" s="97"/>
      <c r="E96" s="97"/>
      <c r="F96" s="97"/>
    </row>
    <row r="97" s="81" customFormat="1" x14ac:dyDescent="0.2"/>
    <row r="98" s="81" customFormat="1" x14ac:dyDescent="0.2"/>
    <row r="99" s="81" customFormat="1" x14ac:dyDescent="0.2"/>
    <row r="100" s="81" customFormat="1" x14ac:dyDescent="0.2"/>
    <row r="101" s="81" customFormat="1" x14ac:dyDescent="0.2"/>
    <row r="102" s="81" customFormat="1" x14ac:dyDescent="0.2"/>
    <row r="103" s="81" customFormat="1" x14ac:dyDescent="0.2"/>
    <row r="104" s="81" customFormat="1" x14ac:dyDescent="0.2"/>
    <row r="105" s="81" customFormat="1" x14ac:dyDescent="0.2"/>
    <row r="106" s="81" customFormat="1" x14ac:dyDescent="0.2"/>
    <row r="107" s="81" customFormat="1" x14ac:dyDescent="0.2"/>
    <row r="108" s="81" customFormat="1" x14ac:dyDescent="0.2"/>
    <row r="109" s="81" customFormat="1" x14ac:dyDescent="0.2"/>
    <row r="110" s="81" customFormat="1" x14ac:dyDescent="0.2"/>
    <row r="111" s="81" customFormat="1" x14ac:dyDescent="0.2"/>
    <row r="112" s="81" customFormat="1" x14ac:dyDescent="0.2"/>
    <row r="113" s="81" customFormat="1" x14ac:dyDescent="0.2"/>
    <row r="114" s="81" customFormat="1" x14ac:dyDescent="0.2"/>
    <row r="115" s="81" customFormat="1" x14ac:dyDescent="0.2"/>
    <row r="116" s="81" customFormat="1" x14ac:dyDescent="0.2"/>
    <row r="117" s="81" customFormat="1" x14ac:dyDescent="0.2"/>
    <row r="118" s="81" customFormat="1" x14ac:dyDescent="0.2"/>
    <row r="119" s="81" customFormat="1" x14ac:dyDescent="0.2"/>
    <row r="120" s="81" customFormat="1" x14ac:dyDescent="0.2"/>
    <row r="121" s="81" customFormat="1" x14ac:dyDescent="0.2"/>
    <row r="122" s="81" customFormat="1" x14ac:dyDescent="0.2"/>
    <row r="123" s="81" customFormat="1" x14ac:dyDescent="0.2"/>
    <row r="124" s="81" customFormat="1" x14ac:dyDescent="0.2"/>
    <row r="125" s="81" customFormat="1" x14ac:dyDescent="0.2"/>
    <row r="126" s="81" customFormat="1" x14ac:dyDescent="0.2"/>
    <row r="127" s="81" customFormat="1" x14ac:dyDescent="0.2"/>
    <row r="128" s="81" customFormat="1" x14ac:dyDescent="0.2"/>
    <row r="129" spans="6:20" s="81" customFormat="1" x14ac:dyDescent="0.2"/>
    <row r="130" spans="6:20" s="81" customFormat="1" x14ac:dyDescent="0.2"/>
    <row r="131" spans="6:20" s="81" customFormat="1" x14ac:dyDescent="0.2"/>
    <row r="132" spans="6:20" s="81" customFormat="1" x14ac:dyDescent="0.2"/>
    <row r="133" spans="6:20" s="81" customFormat="1" x14ac:dyDescent="0.2">
      <c r="F133" s="155"/>
    </row>
    <row r="134" spans="6:20" s="81" customFormat="1" x14ac:dyDescent="0.2"/>
    <row r="135" spans="6:20" s="81" customFormat="1" x14ac:dyDescent="0.2"/>
    <row r="136" spans="6:20" s="81" customFormat="1" x14ac:dyDescent="0.2">
      <c r="F136" s="97"/>
    </row>
    <row r="137" spans="6:20" s="81" customFormat="1" x14ac:dyDescent="0.2">
      <c r="F137" s="97"/>
    </row>
    <row r="138" spans="6:20" s="81" customFormat="1" x14ac:dyDescent="0.2"/>
    <row r="139" spans="6:20" s="81" customFormat="1" x14ac:dyDescent="0.2">
      <c r="T139" s="155"/>
    </row>
    <row r="140" spans="6:20" s="81" customFormat="1" x14ac:dyDescent="0.2"/>
    <row r="141" spans="6:20" s="81" customFormat="1" x14ac:dyDescent="0.2"/>
    <row r="142" spans="6:20" s="81" customFormat="1" x14ac:dyDescent="0.2"/>
    <row r="143" spans="6:20" s="81" customFormat="1" x14ac:dyDescent="0.2"/>
    <row r="144" spans="6:20" s="81" customFormat="1" x14ac:dyDescent="0.2"/>
    <row r="145" s="81" customFormat="1" x14ac:dyDescent="0.2"/>
    <row r="146" s="81" customFormat="1" x14ac:dyDescent="0.2"/>
    <row r="147" s="81" customFormat="1" x14ac:dyDescent="0.2"/>
    <row r="148" s="81" customFormat="1" x14ac:dyDescent="0.2"/>
    <row r="149" s="81" customFormat="1" x14ac:dyDescent="0.2"/>
    <row r="150" s="81" customFormat="1" x14ac:dyDescent="0.2"/>
    <row r="151" s="81" customFormat="1" x14ac:dyDescent="0.2"/>
    <row r="152" s="81" customFormat="1" x14ac:dyDescent="0.2"/>
    <row r="153" s="81" customFormat="1" x14ac:dyDescent="0.2"/>
    <row r="154" s="81" customFormat="1" x14ac:dyDescent="0.2"/>
    <row r="155" s="81" customFormat="1" x14ac:dyDescent="0.2"/>
    <row r="156" s="81" customFormat="1" x14ac:dyDescent="0.2"/>
    <row r="157" s="81" customFormat="1" x14ac:dyDescent="0.2"/>
    <row r="158" s="81" customFormat="1" x14ac:dyDescent="0.2"/>
    <row r="159" s="81" customFormat="1" x14ac:dyDescent="0.2"/>
    <row r="160" s="81" customFormat="1" x14ac:dyDescent="0.2"/>
    <row r="161" s="81" customFormat="1" x14ac:dyDescent="0.2"/>
    <row r="162" s="81" customFormat="1" x14ac:dyDescent="0.2"/>
    <row r="163" s="81" customFormat="1" x14ac:dyDescent="0.2"/>
    <row r="164" s="81" customFormat="1" x14ac:dyDescent="0.2"/>
    <row r="165" s="81" customFormat="1" x14ac:dyDescent="0.2"/>
    <row r="166" s="81" customFormat="1" x14ac:dyDescent="0.2"/>
    <row r="167" s="81" customFormat="1" x14ac:dyDescent="0.2"/>
    <row r="168" s="81" customFormat="1" x14ac:dyDescent="0.2"/>
    <row r="169" s="81" customFormat="1" x14ac:dyDescent="0.2"/>
    <row r="170" s="81" customFormat="1" x14ac:dyDescent="0.2"/>
    <row r="171" s="81" customFormat="1" x14ac:dyDescent="0.2"/>
    <row r="172" s="81" customFormat="1" x14ac:dyDescent="0.2"/>
    <row r="173" s="81" customFormat="1" x14ac:dyDescent="0.2"/>
    <row r="174" s="81" customFormat="1" x14ac:dyDescent="0.2"/>
    <row r="175" s="81" customFormat="1" x14ac:dyDescent="0.2"/>
    <row r="176" s="81" customFormat="1" x14ac:dyDescent="0.2"/>
    <row r="177" s="81" customFormat="1" x14ac:dyDescent="0.2"/>
    <row r="178" s="81" customFormat="1" x14ac:dyDescent="0.2"/>
    <row r="179" s="81" customFormat="1" x14ac:dyDescent="0.2"/>
    <row r="180" s="81" customFormat="1" x14ac:dyDescent="0.2"/>
    <row r="181" s="81" customFormat="1" x14ac:dyDescent="0.2"/>
    <row r="182" s="81" customFormat="1" x14ac:dyDescent="0.2"/>
    <row r="183" s="81" customFormat="1" x14ac:dyDescent="0.2"/>
    <row r="184" s="81" customFormat="1" x14ac:dyDescent="0.2"/>
    <row r="185" s="81" customFormat="1" x14ac:dyDescent="0.2"/>
    <row r="186" s="81" customFormat="1" x14ac:dyDescent="0.2"/>
    <row r="187" s="81" customFormat="1" x14ac:dyDescent="0.2"/>
    <row r="188" s="81" customFormat="1" x14ac:dyDescent="0.2"/>
    <row r="189" s="81" customFormat="1" x14ac:dyDescent="0.2"/>
    <row r="190" s="81" customFormat="1" x14ac:dyDescent="0.2"/>
    <row r="191" s="81" customFormat="1" x14ac:dyDescent="0.2"/>
  </sheetData>
  <mergeCells count="2">
    <mergeCell ref="L68:M68"/>
    <mergeCell ref="A68:B68"/>
  </mergeCells>
  <pageMargins left="0.25" right="0.25" top="0.75" bottom="0.75" header="0.3" footer="0.3"/>
  <pageSetup scale="4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  <pageSetUpPr fitToPage="1"/>
  </sheetPr>
  <dimension ref="A1:AN469"/>
  <sheetViews>
    <sheetView showGridLines="0" tabSelected="1" topLeftCell="A4" zoomScaleNormal="100" workbookViewId="0">
      <pane xSplit="6" ySplit="2" topLeftCell="G143" activePane="bottomRight" state="frozen"/>
      <selection activeCell="A4" sqref="A4"/>
      <selection pane="topRight" activeCell="D4" sqref="D4"/>
      <selection pane="bottomLeft" activeCell="A6" sqref="A6"/>
      <selection pane="bottomRight" activeCell="Z231" sqref="Z231"/>
    </sheetView>
  </sheetViews>
  <sheetFormatPr baseColWidth="10" defaultColWidth="11.5" defaultRowHeight="15" outlineLevelRow="1" x14ac:dyDescent="0.2"/>
  <cols>
    <col min="1" max="1" width="3" style="30" customWidth="1"/>
    <col min="2" max="2" width="1.83203125" style="30" customWidth="1"/>
    <col min="3" max="3" width="3" style="30" customWidth="1"/>
    <col min="4" max="4" width="38.83203125" style="30" customWidth="1"/>
    <col min="5" max="5" width="10.6640625" style="30" customWidth="1"/>
    <col min="6" max="6" width="13.83203125" style="30" bestFit="1" customWidth="1"/>
    <col min="7" max="26" width="7.83203125" style="30" customWidth="1"/>
    <col min="27" max="27" width="9.5" style="30" customWidth="1"/>
    <col min="28" max="28" width="6.83203125" style="30" customWidth="1"/>
    <col min="29" max="16384" width="11.5" style="30"/>
  </cols>
  <sheetData>
    <row r="1" spans="1:27" ht="19" x14ac:dyDescent="0.25">
      <c r="D1" s="5" t="s">
        <v>13</v>
      </c>
    </row>
    <row r="2" spans="1:27" ht="16" x14ac:dyDescent="0.2">
      <c r="D2" s="11" t="s">
        <v>16</v>
      </c>
    </row>
    <row r="4" spans="1:27" s="363" customFormat="1" x14ac:dyDescent="0.2">
      <c r="A4" s="497"/>
      <c r="B4" s="496"/>
      <c r="C4" s="496" t="s">
        <v>309</v>
      </c>
      <c r="D4" s="496"/>
      <c r="E4" s="493"/>
      <c r="F4" s="493"/>
      <c r="G4" s="545" t="s">
        <v>301</v>
      </c>
      <c r="H4" s="545"/>
      <c r="I4" s="545"/>
      <c r="J4" s="545"/>
      <c r="K4" s="545"/>
      <c r="L4" s="545"/>
      <c r="M4" s="545"/>
      <c r="N4" s="545"/>
      <c r="O4" s="545"/>
      <c r="P4" s="545"/>
      <c r="Q4" s="545"/>
      <c r="R4" s="545"/>
      <c r="S4" s="545"/>
      <c r="T4" s="545"/>
      <c r="U4" s="545"/>
      <c r="V4" s="545"/>
      <c r="W4" s="545"/>
      <c r="X4" s="545"/>
      <c r="Y4" s="545"/>
      <c r="Z4" s="545"/>
      <c r="AA4" s="545"/>
    </row>
    <row r="5" spans="1:27" s="363" customFormat="1" x14ac:dyDescent="0.2">
      <c r="A5" s="498"/>
      <c r="B5" s="493"/>
      <c r="C5" s="493"/>
      <c r="D5" s="494"/>
      <c r="E5" s="544" t="s">
        <v>302</v>
      </c>
      <c r="F5" s="544"/>
      <c r="G5" s="495">
        <v>0</v>
      </c>
      <c r="H5" s="495">
        <v>1</v>
      </c>
      <c r="I5" s="495">
        <v>2</v>
      </c>
      <c r="J5" s="495">
        <v>3</v>
      </c>
      <c r="K5" s="495">
        <v>4</v>
      </c>
      <c r="L5" s="495">
        <v>5</v>
      </c>
      <c r="M5" s="495">
        <v>6</v>
      </c>
      <c r="N5" s="495">
        <v>7</v>
      </c>
      <c r="O5" s="495">
        <v>8</v>
      </c>
      <c r="P5" s="495">
        <v>9</v>
      </c>
      <c r="Q5" s="495">
        <v>10</v>
      </c>
      <c r="R5" s="495">
        <v>11</v>
      </c>
      <c r="S5" s="495">
        <v>12</v>
      </c>
      <c r="T5" s="495">
        <v>13</v>
      </c>
      <c r="U5" s="495">
        <v>14</v>
      </c>
      <c r="V5" s="495">
        <v>15</v>
      </c>
      <c r="W5" s="495">
        <v>16</v>
      </c>
      <c r="X5" s="495">
        <v>17</v>
      </c>
      <c r="Y5" s="495">
        <v>18</v>
      </c>
      <c r="Z5" s="495">
        <v>19</v>
      </c>
      <c r="AA5" s="495">
        <v>20</v>
      </c>
    </row>
    <row r="6" spans="1:27" ht="7" customHeight="1" x14ac:dyDescent="0.2"/>
    <row r="7" spans="1:27" hidden="1" outlineLevel="1" x14ac:dyDescent="0.2">
      <c r="D7" s="32" t="s">
        <v>16</v>
      </c>
    </row>
    <row r="8" spans="1:27" hidden="1" outlineLevel="1" x14ac:dyDescent="0.2">
      <c r="D8" s="130" t="s">
        <v>47</v>
      </c>
      <c r="E8" s="132"/>
      <c r="F8" s="34">
        <f>SUM(G8:AA8)</f>
        <v>1</v>
      </c>
      <c r="G8" s="35"/>
      <c r="H8" s="35">
        <v>1</v>
      </c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</row>
    <row r="9" spans="1:27" hidden="1" outlineLevel="1" x14ac:dyDescent="0.2">
      <c r="D9" s="174" t="s">
        <v>143</v>
      </c>
      <c r="E9" s="133">
        <v>0</v>
      </c>
      <c r="F9" s="40">
        <f>SUM(G9:AA9)</f>
        <v>0</v>
      </c>
      <c r="G9" s="39"/>
      <c r="H9" s="39">
        <f t="shared" ref="H9:U9" si="0">-H8*$E$9</f>
        <v>0</v>
      </c>
      <c r="I9" s="39">
        <f t="shared" si="0"/>
        <v>0</v>
      </c>
      <c r="J9" s="39">
        <f t="shared" si="0"/>
        <v>0</v>
      </c>
      <c r="K9" s="39">
        <f t="shared" si="0"/>
        <v>0</v>
      </c>
      <c r="L9" s="39">
        <f t="shared" si="0"/>
        <v>0</v>
      </c>
      <c r="M9" s="39">
        <f t="shared" si="0"/>
        <v>0</v>
      </c>
      <c r="N9" s="39">
        <f t="shared" si="0"/>
        <v>0</v>
      </c>
      <c r="O9" s="39">
        <f t="shared" si="0"/>
        <v>0</v>
      </c>
      <c r="P9" s="39">
        <f t="shared" si="0"/>
        <v>0</v>
      </c>
      <c r="Q9" s="39">
        <f t="shared" si="0"/>
        <v>0</v>
      </c>
      <c r="R9" s="39">
        <f t="shared" si="0"/>
        <v>0</v>
      </c>
      <c r="S9" s="39">
        <f t="shared" si="0"/>
        <v>0</v>
      </c>
      <c r="T9" s="39">
        <f t="shared" si="0"/>
        <v>0</v>
      </c>
      <c r="U9" s="39">
        <f t="shared" si="0"/>
        <v>0</v>
      </c>
      <c r="V9" s="39">
        <f t="shared" ref="V9" si="1">-V8*$E$9</f>
        <v>0</v>
      </c>
      <c r="W9" s="39">
        <f t="shared" ref="W9" si="2">-W8*$E$9</f>
        <v>0</v>
      </c>
      <c r="X9" s="39">
        <f t="shared" ref="X9" si="3">-X8*$E$9</f>
        <v>0</v>
      </c>
      <c r="Y9" s="39">
        <f t="shared" ref="Y9" si="4">-Y8*$E$9</f>
        <v>0</v>
      </c>
      <c r="Z9" s="39">
        <f t="shared" ref="Z9" si="5">-Z8*$E$9</f>
        <v>0</v>
      </c>
      <c r="AA9" s="39">
        <f t="shared" ref="AA9" si="6">-AA8*$E$9</f>
        <v>0</v>
      </c>
    </row>
    <row r="10" spans="1:27" hidden="1" outlineLevel="1" x14ac:dyDescent="0.2">
      <c r="E10" s="41"/>
    </row>
    <row r="11" spans="1:27" hidden="1" outlineLevel="1" x14ac:dyDescent="0.2">
      <c r="D11" s="131" t="s">
        <v>45</v>
      </c>
      <c r="E11" s="136"/>
      <c r="F11" s="137">
        <f>SUM(G11:AA11)</f>
        <v>1</v>
      </c>
      <c r="G11" s="35"/>
      <c r="H11" s="35"/>
      <c r="I11" s="134">
        <v>0.1</v>
      </c>
      <c r="J11" s="134">
        <v>0.35</v>
      </c>
      <c r="K11" s="134">
        <v>0.35</v>
      </c>
      <c r="L11" s="134">
        <v>0.05</v>
      </c>
      <c r="M11" s="134">
        <v>0.05</v>
      </c>
      <c r="N11" s="134">
        <v>0.05</v>
      </c>
      <c r="O11" s="134">
        <v>0.05</v>
      </c>
      <c r="P11" s="35">
        <v>0</v>
      </c>
      <c r="Q11" s="35">
        <v>0</v>
      </c>
      <c r="R11" s="35">
        <v>0</v>
      </c>
      <c r="S11" s="35">
        <v>0</v>
      </c>
      <c r="T11" s="35">
        <v>0</v>
      </c>
      <c r="U11" s="35">
        <v>0</v>
      </c>
      <c r="V11" s="35">
        <v>0</v>
      </c>
      <c r="W11" s="35">
        <v>0</v>
      </c>
      <c r="X11" s="35">
        <v>0</v>
      </c>
      <c r="Y11" s="35">
        <v>0</v>
      </c>
      <c r="Z11" s="35">
        <v>0</v>
      </c>
      <c r="AA11" s="35">
        <v>0</v>
      </c>
    </row>
    <row r="12" spans="1:27" hidden="1" outlineLevel="1" x14ac:dyDescent="0.2">
      <c r="D12" s="69"/>
      <c r="E12" s="138">
        <f>+Masterplan!N39</f>
        <v>6553965</v>
      </c>
      <c r="F12" s="69">
        <f>SUM(G12:AA12)</f>
        <v>-6553965</v>
      </c>
      <c r="G12" s="39"/>
      <c r="H12" s="284">
        <f>-H11*$E$12</f>
        <v>0</v>
      </c>
      <c r="I12" s="284">
        <f t="shared" ref="I12:U12" si="7">-I11*$E$12</f>
        <v>-655396.5</v>
      </c>
      <c r="J12" s="284">
        <f t="shared" si="7"/>
        <v>-2293887.75</v>
      </c>
      <c r="K12" s="284">
        <f t="shared" si="7"/>
        <v>-2293887.75</v>
      </c>
      <c r="L12" s="284">
        <f t="shared" si="7"/>
        <v>-327698.25</v>
      </c>
      <c r="M12" s="284">
        <f t="shared" si="7"/>
        <v>-327698.25</v>
      </c>
      <c r="N12" s="284">
        <f t="shared" si="7"/>
        <v>-327698.25</v>
      </c>
      <c r="O12" s="284">
        <f t="shared" si="7"/>
        <v>-327698.25</v>
      </c>
      <c r="P12" s="284">
        <f t="shared" si="7"/>
        <v>0</v>
      </c>
      <c r="Q12" s="284">
        <f t="shared" si="7"/>
        <v>0</v>
      </c>
      <c r="R12" s="284">
        <f t="shared" si="7"/>
        <v>0</v>
      </c>
      <c r="S12" s="284">
        <f t="shared" si="7"/>
        <v>0</v>
      </c>
      <c r="T12" s="284">
        <f t="shared" si="7"/>
        <v>0</v>
      </c>
      <c r="U12" s="284">
        <f t="shared" si="7"/>
        <v>0</v>
      </c>
      <c r="V12" s="284">
        <f t="shared" ref="V12" si="8">-V11*$E$12</f>
        <v>0</v>
      </c>
      <c r="W12" s="284">
        <f t="shared" ref="W12" si="9">-W11*$E$12</f>
        <v>0</v>
      </c>
      <c r="X12" s="284">
        <f t="shared" ref="X12" si="10">-X11*$E$12</f>
        <v>0</v>
      </c>
      <c r="Y12" s="284">
        <f t="shared" ref="Y12" si="11">-Y11*$E$12</f>
        <v>0</v>
      </c>
      <c r="Z12" s="284">
        <f t="shared" ref="Z12" si="12">-Z11*$E$12</f>
        <v>0</v>
      </c>
      <c r="AA12" s="284">
        <f t="shared" ref="AA12" si="13">-AA11*$E$12</f>
        <v>0</v>
      </c>
    </row>
    <row r="13" spans="1:27" hidden="1" outlineLevel="1" x14ac:dyDescent="0.2"/>
    <row r="14" spans="1:27" s="365" customFormat="1" collapsed="1" x14ac:dyDescent="0.2">
      <c r="A14" s="462"/>
      <c r="B14" s="367"/>
      <c r="D14" s="364" t="s">
        <v>225</v>
      </c>
    </row>
    <row r="15" spans="1:27" s="367" customFormat="1" ht="7" customHeight="1" x14ac:dyDescent="0.2">
      <c r="A15" s="475"/>
      <c r="D15" s="366"/>
    </row>
    <row r="16" spans="1:27" customFormat="1" ht="13" x14ac:dyDescent="0.15">
      <c r="A16" s="474"/>
      <c r="C16" s="339"/>
      <c r="D16" s="339" t="s">
        <v>220</v>
      </c>
      <c r="E16" s="339"/>
      <c r="F16" s="339"/>
      <c r="G16" s="339"/>
      <c r="H16" s="339"/>
      <c r="I16" s="339"/>
      <c r="J16" s="339"/>
      <c r="K16" s="339"/>
      <c r="L16" s="339"/>
      <c r="M16" s="339"/>
      <c r="N16" s="339"/>
      <c r="O16" s="339"/>
      <c r="P16" s="339"/>
      <c r="Q16" s="339"/>
      <c r="R16" s="339"/>
      <c r="S16" s="339"/>
      <c r="T16" s="339"/>
      <c r="U16" s="339"/>
      <c r="V16" s="339"/>
      <c r="W16" s="339"/>
      <c r="X16" s="339"/>
      <c r="Y16" s="339"/>
      <c r="Z16" s="339"/>
      <c r="AA16" s="339"/>
    </row>
    <row r="17" spans="1:27" s="367" customFormat="1" ht="7" customHeight="1" x14ac:dyDescent="0.2">
      <c r="A17" s="475"/>
      <c r="D17" s="366"/>
    </row>
    <row r="18" spans="1:27" s="371" customFormat="1" x14ac:dyDescent="0.2">
      <c r="A18" s="408"/>
      <c r="C18" s="454"/>
      <c r="D18" s="368" t="s">
        <v>51</v>
      </c>
      <c r="E18" s="369"/>
      <c r="F18" s="370">
        <f>SUM(G18:AA18)</f>
        <v>1</v>
      </c>
      <c r="G18" s="370"/>
      <c r="H18" s="370"/>
      <c r="I18" s="370"/>
      <c r="J18" s="376">
        <v>1</v>
      </c>
      <c r="K18" s="370"/>
      <c r="L18" s="370"/>
      <c r="M18" s="370"/>
      <c r="N18" s="370"/>
      <c r="O18" s="370"/>
      <c r="P18" s="370"/>
      <c r="Q18" s="370"/>
      <c r="R18" s="370"/>
      <c r="S18" s="370"/>
      <c r="T18" s="370"/>
      <c r="U18" s="370"/>
      <c r="V18" s="370"/>
      <c r="W18" s="370"/>
      <c r="X18" s="370"/>
      <c r="Y18" s="370"/>
      <c r="Z18" s="370"/>
      <c r="AA18" s="370"/>
    </row>
    <row r="19" spans="1:27" s="371" customFormat="1" x14ac:dyDescent="0.2">
      <c r="A19" s="408"/>
      <c r="C19" s="454"/>
      <c r="D19" s="372" t="s">
        <v>288</v>
      </c>
      <c r="E19" s="373">
        <f>+Masterplan!M16</f>
        <v>278932.5</v>
      </c>
      <c r="F19" s="403">
        <f>SUM(G19:AA19)</f>
        <v>-278932.5</v>
      </c>
      <c r="G19" s="374"/>
      <c r="H19" s="375"/>
      <c r="I19" s="375">
        <f>-I18*$E$19</f>
        <v>0</v>
      </c>
      <c r="J19" s="375">
        <f t="shared" ref="J19:AA19" si="14">-J18*$E$19</f>
        <v>-278932.5</v>
      </c>
      <c r="K19" s="375">
        <f t="shared" si="14"/>
        <v>0</v>
      </c>
      <c r="L19" s="375">
        <f t="shared" si="14"/>
        <v>0</v>
      </c>
      <c r="M19" s="375">
        <f t="shared" si="14"/>
        <v>0</v>
      </c>
      <c r="N19" s="375">
        <f t="shared" si="14"/>
        <v>0</v>
      </c>
      <c r="O19" s="375">
        <f t="shared" si="14"/>
        <v>0</v>
      </c>
      <c r="P19" s="375">
        <f t="shared" si="14"/>
        <v>0</v>
      </c>
      <c r="Q19" s="375">
        <f t="shared" si="14"/>
        <v>0</v>
      </c>
      <c r="R19" s="375">
        <f t="shared" si="14"/>
        <v>0</v>
      </c>
      <c r="S19" s="375">
        <f t="shared" si="14"/>
        <v>0</v>
      </c>
      <c r="T19" s="375">
        <f t="shared" si="14"/>
        <v>0</v>
      </c>
      <c r="U19" s="375">
        <f t="shared" si="14"/>
        <v>0</v>
      </c>
      <c r="V19" s="375">
        <f t="shared" si="14"/>
        <v>0</v>
      </c>
      <c r="W19" s="375">
        <f t="shared" si="14"/>
        <v>0</v>
      </c>
      <c r="X19" s="375">
        <f t="shared" si="14"/>
        <v>0</v>
      </c>
      <c r="Y19" s="375">
        <f t="shared" si="14"/>
        <v>0</v>
      </c>
      <c r="Z19" s="375">
        <f t="shared" si="14"/>
        <v>0</v>
      </c>
      <c r="AA19" s="375">
        <f t="shared" si="14"/>
        <v>0</v>
      </c>
    </row>
    <row r="20" spans="1:27" s="371" customFormat="1" ht="7" customHeight="1" x14ac:dyDescent="0.2">
      <c r="A20" s="408"/>
      <c r="C20" s="454"/>
      <c r="D20" s="377"/>
      <c r="E20" s="378"/>
      <c r="F20" s="379"/>
      <c r="G20" s="379"/>
      <c r="H20" s="380"/>
      <c r="I20" s="380"/>
      <c r="J20" s="380"/>
      <c r="K20" s="380"/>
      <c r="L20" s="380"/>
      <c r="M20" s="380"/>
      <c r="N20" s="380"/>
      <c r="O20" s="380"/>
      <c r="P20" s="380"/>
      <c r="Q20" s="380"/>
      <c r="R20" s="380"/>
      <c r="S20" s="380"/>
      <c r="T20" s="380"/>
      <c r="U20" s="380"/>
      <c r="V20" s="380"/>
      <c r="W20" s="380"/>
      <c r="X20" s="380"/>
      <c r="Y20" s="380"/>
      <c r="Z20" s="380"/>
      <c r="AA20" s="380"/>
    </row>
    <row r="21" spans="1:27" s="390" customFormat="1" hidden="1" outlineLevel="1" x14ac:dyDescent="0.2">
      <c r="A21" s="463"/>
      <c r="C21" s="455"/>
      <c r="D21" s="386" t="s">
        <v>289</v>
      </c>
      <c r="E21" s="387"/>
      <c r="F21" s="388"/>
      <c r="G21" s="388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</row>
    <row r="22" spans="1:27" s="382" customFormat="1" hidden="1" outlineLevel="1" x14ac:dyDescent="0.2">
      <c r="A22" s="464"/>
      <c r="B22" s="466"/>
      <c r="C22" s="456"/>
      <c r="D22" s="383" t="s">
        <v>290</v>
      </c>
      <c r="E22" s="384"/>
      <c r="F22" s="385"/>
      <c r="G22" s="381"/>
      <c r="H22" s="381"/>
      <c r="I22" s="381"/>
      <c r="J22" s="381"/>
      <c r="K22" s="381">
        <v>0</v>
      </c>
      <c r="L22" s="381">
        <v>0</v>
      </c>
      <c r="M22" s="381">
        <v>0</v>
      </c>
      <c r="N22" s="381">
        <v>0</v>
      </c>
      <c r="O22" s="381">
        <v>0</v>
      </c>
      <c r="P22" s="381">
        <v>0</v>
      </c>
      <c r="Q22" s="381">
        <v>0.1</v>
      </c>
      <c r="R22" s="381">
        <v>0.1</v>
      </c>
      <c r="S22" s="381">
        <v>0.1</v>
      </c>
      <c r="T22" s="381">
        <v>0.1</v>
      </c>
      <c r="U22" s="381">
        <v>0.1</v>
      </c>
      <c r="V22" s="381">
        <v>0.1</v>
      </c>
      <c r="W22" s="381">
        <v>0.2</v>
      </c>
      <c r="X22" s="381">
        <v>0.2</v>
      </c>
      <c r="Y22" s="381">
        <v>0.2</v>
      </c>
      <c r="Z22" s="381">
        <v>0.2</v>
      </c>
      <c r="AA22" s="381">
        <v>0.2</v>
      </c>
    </row>
    <row r="23" spans="1:27" ht="7" hidden="1" customHeight="1" outlineLevel="1" x14ac:dyDescent="0.2">
      <c r="A23" s="408"/>
      <c r="B23" s="371"/>
      <c r="C23" s="454"/>
      <c r="D23" s="377"/>
      <c r="E23" s="391"/>
      <c r="F23" s="392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</row>
    <row r="24" spans="1:27" hidden="1" outlineLevel="1" x14ac:dyDescent="0.2">
      <c r="A24" s="408"/>
      <c r="B24" s="371"/>
      <c r="C24" s="454"/>
      <c r="D24" s="377" t="s">
        <v>201</v>
      </c>
      <c r="E24" s="391"/>
      <c r="F24" s="404">
        <f>Masterplan!M3*Masterplan!M9*12</f>
        <v>419126.4</v>
      </c>
      <c r="G24" s="38"/>
      <c r="H24" s="38"/>
      <c r="I24" s="38"/>
      <c r="J24" s="38"/>
      <c r="K24" s="323">
        <f>$F24/2*(1+K$22)</f>
        <v>209563.2</v>
      </c>
      <c r="L24" s="323">
        <f t="shared" ref="L24:AA31" si="15">$F24/2*(1+L$22)</f>
        <v>209563.2</v>
      </c>
      <c r="M24" s="323">
        <f t="shared" si="15"/>
        <v>209563.2</v>
      </c>
      <c r="N24" s="323">
        <f t="shared" si="15"/>
        <v>209563.2</v>
      </c>
      <c r="O24" s="323">
        <f t="shared" si="15"/>
        <v>209563.2</v>
      </c>
      <c r="P24" s="323">
        <f t="shared" si="15"/>
        <v>209563.2</v>
      </c>
      <c r="Q24" s="323">
        <f t="shared" si="15"/>
        <v>230519.52000000002</v>
      </c>
      <c r="R24" s="323">
        <f t="shared" si="15"/>
        <v>230519.52000000002</v>
      </c>
      <c r="S24" s="323">
        <f t="shared" si="15"/>
        <v>230519.52000000002</v>
      </c>
      <c r="T24" s="323">
        <f t="shared" si="15"/>
        <v>230519.52000000002</v>
      </c>
      <c r="U24" s="323">
        <f t="shared" si="15"/>
        <v>230519.52000000002</v>
      </c>
      <c r="V24" s="323">
        <f t="shared" si="15"/>
        <v>230519.52000000002</v>
      </c>
      <c r="W24" s="323">
        <f t="shared" si="15"/>
        <v>251475.84</v>
      </c>
      <c r="X24" s="323">
        <f t="shared" si="15"/>
        <v>251475.84</v>
      </c>
      <c r="Y24" s="323">
        <f t="shared" si="15"/>
        <v>251475.84</v>
      </c>
      <c r="Z24" s="323">
        <f t="shared" si="15"/>
        <v>251475.84</v>
      </c>
      <c r="AA24" s="323">
        <f t="shared" si="15"/>
        <v>251475.84</v>
      </c>
    </row>
    <row r="25" spans="1:27" hidden="1" outlineLevel="1" x14ac:dyDescent="0.2">
      <c r="A25" s="408"/>
      <c r="B25" s="371"/>
      <c r="C25" s="454"/>
      <c r="D25" s="377" t="s">
        <v>202</v>
      </c>
      <c r="E25" s="391"/>
      <c r="F25" s="404">
        <f>Masterplan!M3*4*12</f>
        <v>209563.2</v>
      </c>
      <c r="G25" s="38"/>
      <c r="H25" s="38"/>
      <c r="I25" s="38"/>
      <c r="J25" s="38"/>
      <c r="K25" s="323">
        <f t="shared" ref="K25:Z31" si="16">$F25/2*(1+K$22)</f>
        <v>104781.6</v>
      </c>
      <c r="L25" s="323">
        <f t="shared" si="16"/>
        <v>104781.6</v>
      </c>
      <c r="M25" s="323">
        <f t="shared" si="16"/>
        <v>104781.6</v>
      </c>
      <c r="N25" s="323">
        <f t="shared" si="16"/>
        <v>104781.6</v>
      </c>
      <c r="O25" s="323">
        <f t="shared" si="16"/>
        <v>104781.6</v>
      </c>
      <c r="P25" s="323">
        <f t="shared" si="16"/>
        <v>104781.6</v>
      </c>
      <c r="Q25" s="323">
        <f t="shared" si="16"/>
        <v>115259.76000000001</v>
      </c>
      <c r="R25" s="323">
        <f t="shared" si="16"/>
        <v>115259.76000000001</v>
      </c>
      <c r="S25" s="323">
        <f t="shared" si="16"/>
        <v>115259.76000000001</v>
      </c>
      <c r="T25" s="323">
        <f t="shared" si="16"/>
        <v>115259.76000000001</v>
      </c>
      <c r="U25" s="323">
        <f t="shared" si="16"/>
        <v>115259.76000000001</v>
      </c>
      <c r="V25" s="323">
        <f t="shared" si="16"/>
        <v>115259.76000000001</v>
      </c>
      <c r="W25" s="323">
        <f t="shared" si="16"/>
        <v>125737.92</v>
      </c>
      <c r="X25" s="323">
        <f t="shared" si="16"/>
        <v>125737.92</v>
      </c>
      <c r="Y25" s="323">
        <f t="shared" si="16"/>
        <v>125737.92</v>
      </c>
      <c r="Z25" s="323">
        <f t="shared" si="16"/>
        <v>125737.92</v>
      </c>
      <c r="AA25" s="323">
        <f t="shared" si="15"/>
        <v>125737.92</v>
      </c>
    </row>
    <row r="26" spans="1:27" hidden="1" outlineLevel="1" x14ac:dyDescent="0.2">
      <c r="A26" s="408"/>
      <c r="B26" s="371"/>
      <c r="C26" s="454"/>
      <c r="D26" s="377" t="s">
        <v>207</v>
      </c>
      <c r="E26" s="402">
        <v>0.05</v>
      </c>
      <c r="F26" s="404">
        <f>F24*-E26</f>
        <v>-20956.320000000003</v>
      </c>
      <c r="G26" s="38"/>
      <c r="H26" s="38"/>
      <c r="I26" s="38"/>
      <c r="J26" s="38"/>
      <c r="K26" s="323">
        <f t="shared" si="16"/>
        <v>-10478.160000000002</v>
      </c>
      <c r="L26" s="323">
        <f t="shared" si="15"/>
        <v>-10478.160000000002</v>
      </c>
      <c r="M26" s="323">
        <f t="shared" si="15"/>
        <v>-10478.160000000002</v>
      </c>
      <c r="N26" s="323">
        <f t="shared" si="15"/>
        <v>-10478.160000000002</v>
      </c>
      <c r="O26" s="323">
        <f t="shared" si="15"/>
        <v>-10478.160000000002</v>
      </c>
      <c r="P26" s="323">
        <f t="shared" si="15"/>
        <v>-10478.160000000002</v>
      </c>
      <c r="Q26" s="323">
        <f t="shared" si="15"/>
        <v>-11525.976000000002</v>
      </c>
      <c r="R26" s="323">
        <f t="shared" si="15"/>
        <v>-11525.976000000002</v>
      </c>
      <c r="S26" s="323">
        <f t="shared" si="15"/>
        <v>-11525.976000000002</v>
      </c>
      <c r="T26" s="323">
        <f t="shared" si="15"/>
        <v>-11525.976000000002</v>
      </c>
      <c r="U26" s="323">
        <f t="shared" si="15"/>
        <v>-11525.976000000002</v>
      </c>
      <c r="V26" s="323">
        <f t="shared" si="15"/>
        <v>-11525.976000000002</v>
      </c>
      <c r="W26" s="323">
        <f t="shared" si="15"/>
        <v>-12573.792000000001</v>
      </c>
      <c r="X26" s="323">
        <f t="shared" si="15"/>
        <v>-12573.792000000001</v>
      </c>
      <c r="Y26" s="323">
        <f t="shared" si="15"/>
        <v>-12573.792000000001</v>
      </c>
      <c r="Z26" s="323">
        <f t="shared" si="15"/>
        <v>-12573.792000000001</v>
      </c>
      <c r="AA26" s="323">
        <f t="shared" si="15"/>
        <v>-12573.792000000001</v>
      </c>
    </row>
    <row r="27" spans="1:27" s="32" customFormat="1" hidden="1" outlineLevel="1" x14ac:dyDescent="0.2">
      <c r="A27" s="463"/>
      <c r="B27" s="390"/>
      <c r="C27" s="455"/>
      <c r="D27" s="386" t="s">
        <v>206</v>
      </c>
      <c r="E27" s="393"/>
      <c r="F27" s="394"/>
      <c r="G27" s="398"/>
      <c r="H27" s="398"/>
      <c r="I27" s="398"/>
      <c r="J27" s="398"/>
      <c r="K27" s="399">
        <f>SUM(K24:K26)</f>
        <v>303866.64000000007</v>
      </c>
      <c r="L27" s="399">
        <f t="shared" ref="L27:AA27" si="17">SUM(L24:L26)</f>
        <v>303866.64000000007</v>
      </c>
      <c r="M27" s="399">
        <f t="shared" si="17"/>
        <v>303866.64000000007</v>
      </c>
      <c r="N27" s="399">
        <f t="shared" si="17"/>
        <v>303866.64000000007</v>
      </c>
      <c r="O27" s="399">
        <f t="shared" si="17"/>
        <v>303866.64000000007</v>
      </c>
      <c r="P27" s="399">
        <f t="shared" si="17"/>
        <v>303866.64000000007</v>
      </c>
      <c r="Q27" s="399">
        <f t="shared" si="17"/>
        <v>334253.304</v>
      </c>
      <c r="R27" s="399">
        <f t="shared" si="17"/>
        <v>334253.304</v>
      </c>
      <c r="S27" s="399">
        <f t="shared" si="17"/>
        <v>334253.304</v>
      </c>
      <c r="T27" s="399">
        <f t="shared" si="17"/>
        <v>334253.304</v>
      </c>
      <c r="U27" s="399">
        <f t="shared" si="17"/>
        <v>334253.304</v>
      </c>
      <c r="V27" s="399">
        <f t="shared" si="17"/>
        <v>334253.304</v>
      </c>
      <c r="W27" s="399">
        <f t="shared" si="17"/>
        <v>364639.96799999999</v>
      </c>
      <c r="X27" s="399">
        <f t="shared" si="17"/>
        <v>364639.96799999999</v>
      </c>
      <c r="Y27" s="399">
        <f t="shared" si="17"/>
        <v>364639.96799999999</v>
      </c>
      <c r="Z27" s="399">
        <f t="shared" si="17"/>
        <v>364639.96799999999</v>
      </c>
      <c r="AA27" s="399">
        <f t="shared" si="17"/>
        <v>364639.96799999999</v>
      </c>
    </row>
    <row r="28" spans="1:27" s="32" customFormat="1" ht="7" hidden="1" customHeight="1" outlineLevel="1" x14ac:dyDescent="0.2">
      <c r="A28" s="463"/>
      <c r="B28" s="390"/>
      <c r="C28" s="455"/>
      <c r="D28" s="386"/>
      <c r="E28" s="393"/>
      <c r="F28" s="394"/>
      <c r="G28" s="324"/>
      <c r="H28" s="324"/>
      <c r="I28" s="324"/>
      <c r="J28" s="324"/>
      <c r="K28" s="325"/>
      <c r="L28" s="325"/>
      <c r="M28" s="325"/>
      <c r="N28" s="325"/>
      <c r="O28" s="325"/>
      <c r="P28" s="325"/>
      <c r="Q28" s="325"/>
      <c r="R28" s="325"/>
      <c r="S28" s="325"/>
      <c r="T28" s="325"/>
      <c r="U28" s="325"/>
      <c r="V28" s="325"/>
      <c r="W28" s="325"/>
      <c r="X28" s="325"/>
      <c r="Y28" s="325"/>
      <c r="Z28" s="325"/>
      <c r="AA28" s="325"/>
    </row>
    <row r="29" spans="1:27" hidden="1" outlineLevel="1" x14ac:dyDescent="0.2">
      <c r="A29" s="408"/>
      <c r="B29" s="371"/>
      <c r="C29" s="454"/>
      <c r="D29" s="377" t="s">
        <v>203</v>
      </c>
      <c r="E29" s="391"/>
      <c r="F29" s="404">
        <f>-Masterplan!M3*3*12</f>
        <v>-157172.40000000002</v>
      </c>
      <c r="G29" s="38"/>
      <c r="H29" s="323">
        <f>$F29/2*(1+H$22)*0.25</f>
        <v>-19646.550000000003</v>
      </c>
      <c r="I29" s="323">
        <f>$F29/2*(1+I$22)*0.25</f>
        <v>-19646.550000000003</v>
      </c>
      <c r="J29" s="323">
        <f>$F29/2*(1+J$22)*0.25</f>
        <v>-19646.550000000003</v>
      </c>
      <c r="K29" s="323">
        <f t="shared" si="16"/>
        <v>-78586.200000000012</v>
      </c>
      <c r="L29" s="323">
        <f t="shared" si="15"/>
        <v>-78586.200000000012</v>
      </c>
      <c r="M29" s="323">
        <f t="shared" si="15"/>
        <v>-78586.200000000012</v>
      </c>
      <c r="N29" s="323">
        <f t="shared" si="15"/>
        <v>-78586.200000000012</v>
      </c>
      <c r="O29" s="323">
        <f t="shared" si="15"/>
        <v>-78586.200000000012</v>
      </c>
      <c r="P29" s="323">
        <f t="shared" si="15"/>
        <v>-78586.200000000012</v>
      </c>
      <c r="Q29" s="323">
        <f t="shared" si="15"/>
        <v>-86444.820000000022</v>
      </c>
      <c r="R29" s="323">
        <f t="shared" si="15"/>
        <v>-86444.820000000022</v>
      </c>
      <c r="S29" s="323">
        <f t="shared" si="15"/>
        <v>-86444.820000000022</v>
      </c>
      <c r="T29" s="323">
        <f t="shared" si="15"/>
        <v>-86444.820000000022</v>
      </c>
      <c r="U29" s="323">
        <f t="shared" si="15"/>
        <v>-86444.820000000022</v>
      </c>
      <c r="V29" s="323">
        <f t="shared" si="15"/>
        <v>-86444.820000000022</v>
      </c>
      <c r="W29" s="323">
        <f t="shared" si="15"/>
        <v>-94303.440000000017</v>
      </c>
      <c r="X29" s="323">
        <f t="shared" si="15"/>
        <v>-94303.440000000017</v>
      </c>
      <c r="Y29" s="323">
        <f t="shared" si="15"/>
        <v>-94303.440000000017</v>
      </c>
      <c r="Z29" s="323">
        <f t="shared" si="15"/>
        <v>-94303.440000000017</v>
      </c>
      <c r="AA29" s="323">
        <f t="shared" si="15"/>
        <v>-94303.440000000017</v>
      </c>
    </row>
    <row r="30" spans="1:27" hidden="1" outlineLevel="1" x14ac:dyDescent="0.2">
      <c r="A30" s="408"/>
      <c r="B30" s="371"/>
      <c r="C30" s="454"/>
      <c r="D30" s="377" t="s">
        <v>204</v>
      </c>
      <c r="E30" s="391"/>
      <c r="F30" s="404">
        <f>-Masterplan!M2*1.5*12</f>
        <v>-87318</v>
      </c>
      <c r="G30" s="38"/>
      <c r="H30" s="323">
        <f t="shared" ref="H30:J30" si="18">$F30/2*(1+H$22)</f>
        <v>-43659</v>
      </c>
      <c r="I30" s="323">
        <f t="shared" si="18"/>
        <v>-43659</v>
      </c>
      <c r="J30" s="323">
        <f t="shared" si="18"/>
        <v>-43659</v>
      </c>
      <c r="K30" s="323">
        <f>$F30/2*(1+K$22)</f>
        <v>-43659</v>
      </c>
      <c r="L30" s="323">
        <f t="shared" si="15"/>
        <v>-43659</v>
      </c>
      <c r="M30" s="323">
        <f t="shared" si="15"/>
        <v>-43659</v>
      </c>
      <c r="N30" s="323">
        <f t="shared" si="15"/>
        <v>-43659</v>
      </c>
      <c r="O30" s="323">
        <f t="shared" si="15"/>
        <v>-43659</v>
      </c>
      <c r="P30" s="323">
        <f t="shared" si="15"/>
        <v>-43659</v>
      </c>
      <c r="Q30" s="323">
        <f t="shared" si="15"/>
        <v>-48024.9</v>
      </c>
      <c r="R30" s="323">
        <f>$F30/2*(1+R$22)</f>
        <v>-48024.9</v>
      </c>
      <c r="S30" s="323">
        <f t="shared" si="15"/>
        <v>-48024.9</v>
      </c>
      <c r="T30" s="323">
        <f t="shared" si="15"/>
        <v>-48024.9</v>
      </c>
      <c r="U30" s="323">
        <f t="shared" si="15"/>
        <v>-48024.9</v>
      </c>
      <c r="V30" s="323">
        <f t="shared" si="15"/>
        <v>-48024.9</v>
      </c>
      <c r="W30" s="323">
        <f t="shared" si="15"/>
        <v>-52390.799999999996</v>
      </c>
      <c r="X30" s="323">
        <f t="shared" si="15"/>
        <v>-52390.799999999996</v>
      </c>
      <c r="Y30" s="323">
        <f t="shared" si="15"/>
        <v>-52390.799999999996</v>
      </c>
      <c r="Z30" s="323">
        <f t="shared" si="15"/>
        <v>-52390.799999999996</v>
      </c>
      <c r="AA30" s="323">
        <f t="shared" si="15"/>
        <v>-52390.799999999996</v>
      </c>
    </row>
    <row r="31" spans="1:27" hidden="1" outlineLevel="1" x14ac:dyDescent="0.2">
      <c r="A31" s="408"/>
      <c r="B31" s="371"/>
      <c r="C31" s="454"/>
      <c r="D31" s="377" t="s">
        <v>205</v>
      </c>
      <c r="E31" s="391"/>
      <c r="F31" s="404">
        <f>-(F24+F25)*0.03</f>
        <v>-18860.688000000002</v>
      </c>
      <c r="G31" s="38"/>
      <c r="H31" s="323">
        <f>$F31/2*(1+H$22)*0.25</f>
        <v>-2357.5860000000002</v>
      </c>
      <c r="I31" s="323">
        <f>$F31/2*(1+I$22)*0.25</f>
        <v>-2357.5860000000002</v>
      </c>
      <c r="J31" s="323">
        <f>$F31/2*(1+J$22)*0.25</f>
        <v>-2357.5860000000002</v>
      </c>
      <c r="K31" s="323">
        <f t="shared" si="16"/>
        <v>-9430.344000000001</v>
      </c>
      <c r="L31" s="323">
        <f t="shared" si="15"/>
        <v>-9430.344000000001</v>
      </c>
      <c r="M31" s="323">
        <f t="shared" si="15"/>
        <v>-9430.344000000001</v>
      </c>
      <c r="N31" s="323">
        <f t="shared" si="15"/>
        <v>-9430.344000000001</v>
      </c>
      <c r="O31" s="323">
        <f t="shared" si="15"/>
        <v>-9430.344000000001</v>
      </c>
      <c r="P31" s="323">
        <f t="shared" si="15"/>
        <v>-9430.344000000001</v>
      </c>
      <c r="Q31" s="323">
        <f t="shared" si="15"/>
        <v>-10373.378400000001</v>
      </c>
      <c r="R31" s="323">
        <f t="shared" si="15"/>
        <v>-10373.378400000001</v>
      </c>
      <c r="S31" s="323">
        <f t="shared" si="15"/>
        <v>-10373.378400000001</v>
      </c>
      <c r="T31" s="323">
        <f t="shared" si="15"/>
        <v>-10373.378400000001</v>
      </c>
      <c r="U31" s="323">
        <f t="shared" si="15"/>
        <v>-10373.378400000001</v>
      </c>
      <c r="V31" s="323">
        <f t="shared" si="15"/>
        <v>-10373.378400000001</v>
      </c>
      <c r="W31" s="323">
        <f t="shared" si="15"/>
        <v>-11316.4128</v>
      </c>
      <c r="X31" s="323">
        <f t="shared" si="15"/>
        <v>-11316.4128</v>
      </c>
      <c r="Y31" s="323">
        <f t="shared" si="15"/>
        <v>-11316.4128</v>
      </c>
      <c r="Z31" s="323">
        <f t="shared" si="15"/>
        <v>-11316.4128</v>
      </c>
      <c r="AA31" s="323">
        <f t="shared" si="15"/>
        <v>-11316.4128</v>
      </c>
    </row>
    <row r="32" spans="1:27" ht="7" hidden="1" customHeight="1" outlineLevel="1" x14ac:dyDescent="0.2">
      <c r="A32" s="408"/>
      <c r="B32" s="371"/>
      <c r="C32" s="454"/>
      <c r="D32" s="377"/>
      <c r="E32" s="391"/>
      <c r="F32" s="392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</row>
    <row r="33" spans="1:28" s="327" customFormat="1" collapsed="1" x14ac:dyDescent="0.2">
      <c r="A33" s="429"/>
      <c r="B33" s="388"/>
      <c r="C33" s="468"/>
      <c r="D33" s="395" t="s">
        <v>208</v>
      </c>
      <c r="E33" s="396">
        <f>+Masterplan!M12/2</f>
        <v>177683.39820000003</v>
      </c>
      <c r="F33" s="397">
        <f>SUM(G33:AA33)</f>
        <v>3005764.9776000003</v>
      </c>
      <c r="H33" s="328">
        <f t="shared" ref="H33:J33" si="19">H27+H29+H30+H31</f>
        <v>-65663.135999999999</v>
      </c>
      <c r="I33" s="328">
        <f t="shared" si="19"/>
        <v>-65663.135999999999</v>
      </c>
      <c r="J33" s="328">
        <f t="shared" si="19"/>
        <v>-65663.135999999999</v>
      </c>
      <c r="K33" s="328">
        <f>K27+K29+K30+K31</f>
        <v>172191.09600000005</v>
      </c>
      <c r="L33" s="328">
        <f t="shared" ref="L33:AA33" si="20">L27+L29+L30+L31</f>
        <v>172191.09600000005</v>
      </c>
      <c r="M33" s="328">
        <f t="shared" si="20"/>
        <v>172191.09600000005</v>
      </c>
      <c r="N33" s="328">
        <f t="shared" si="20"/>
        <v>172191.09600000005</v>
      </c>
      <c r="O33" s="328">
        <f t="shared" si="20"/>
        <v>172191.09600000005</v>
      </c>
      <c r="P33" s="328">
        <f t="shared" si="20"/>
        <v>172191.09600000005</v>
      </c>
      <c r="Q33" s="328">
        <f t="shared" si="20"/>
        <v>189410.20559999999</v>
      </c>
      <c r="R33" s="328">
        <f t="shared" si="20"/>
        <v>189410.20559999999</v>
      </c>
      <c r="S33" s="328">
        <f t="shared" si="20"/>
        <v>189410.20559999999</v>
      </c>
      <c r="T33" s="328">
        <f t="shared" si="20"/>
        <v>189410.20559999999</v>
      </c>
      <c r="U33" s="328">
        <f t="shared" si="20"/>
        <v>189410.20559999999</v>
      </c>
      <c r="V33" s="328">
        <f t="shared" si="20"/>
        <v>189410.20559999999</v>
      </c>
      <c r="W33" s="328">
        <f t="shared" si="20"/>
        <v>206629.31520000001</v>
      </c>
      <c r="X33" s="328">
        <f t="shared" si="20"/>
        <v>206629.31520000001</v>
      </c>
      <c r="Y33" s="328">
        <f t="shared" si="20"/>
        <v>206629.31520000001</v>
      </c>
      <c r="Z33" s="328">
        <f t="shared" si="20"/>
        <v>206629.31520000001</v>
      </c>
      <c r="AA33" s="328">
        <f t="shared" si="20"/>
        <v>206629.31520000001</v>
      </c>
    </row>
    <row r="34" spans="1:28" s="371" customFormat="1" ht="7" customHeight="1" x14ac:dyDescent="0.2">
      <c r="A34" s="408"/>
      <c r="C34" s="454"/>
      <c r="D34" s="379"/>
      <c r="E34" s="391"/>
      <c r="F34" s="379"/>
      <c r="G34" s="379"/>
      <c r="H34" s="379"/>
      <c r="I34" s="379"/>
      <c r="J34" s="379"/>
      <c r="K34" s="400"/>
      <c r="L34" s="400"/>
      <c r="M34" s="400"/>
      <c r="N34" s="400"/>
      <c r="O34" s="400"/>
      <c r="P34" s="400"/>
      <c r="Q34" s="400"/>
      <c r="R34" s="400"/>
      <c r="S34" s="400"/>
      <c r="T34" s="400"/>
      <c r="U34" s="400"/>
      <c r="V34" s="400"/>
      <c r="W34" s="400"/>
      <c r="X34" s="400"/>
      <c r="Y34" s="400"/>
      <c r="Z34" s="400"/>
      <c r="AA34" s="400"/>
    </row>
    <row r="35" spans="1:28" x14ac:dyDescent="0.2">
      <c r="A35" s="408"/>
      <c r="B35" s="371"/>
      <c r="C35" s="454"/>
      <c r="D35" s="371" t="s">
        <v>130</v>
      </c>
      <c r="E35" s="402">
        <v>0.08</v>
      </c>
      <c r="F35" s="379">
        <f>SUM(G35:AA35)</f>
        <v>5165732.88</v>
      </c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23">
        <f>+AA33*2/E35</f>
        <v>5165732.88</v>
      </c>
    </row>
    <row r="36" spans="1:28" s="454" customFormat="1" x14ac:dyDescent="0.2">
      <c r="A36" s="408"/>
      <c r="B36" s="371"/>
      <c r="C36" s="483"/>
      <c r="D36" s="457" t="s">
        <v>335</v>
      </c>
      <c r="E36" s="457"/>
      <c r="F36" s="457">
        <f>SUM(G36:AA36)</f>
        <v>2726832.4776000003</v>
      </c>
      <c r="G36" s="457">
        <f t="shared" ref="G36:Z36" si="21">+G19+G33+G35</f>
        <v>0</v>
      </c>
      <c r="H36" s="458">
        <f t="shared" si="21"/>
        <v>-65663.135999999999</v>
      </c>
      <c r="I36" s="458">
        <f t="shared" si="21"/>
        <v>-65663.135999999999</v>
      </c>
      <c r="J36" s="458">
        <f t="shared" si="21"/>
        <v>-344595.636</v>
      </c>
      <c r="K36" s="459">
        <f t="shared" si="21"/>
        <v>172191.09600000005</v>
      </c>
      <c r="L36" s="459">
        <f t="shared" si="21"/>
        <v>172191.09600000005</v>
      </c>
      <c r="M36" s="459">
        <f t="shared" si="21"/>
        <v>172191.09600000005</v>
      </c>
      <c r="N36" s="459">
        <f t="shared" si="21"/>
        <v>172191.09600000005</v>
      </c>
      <c r="O36" s="459">
        <f t="shared" si="21"/>
        <v>172191.09600000005</v>
      </c>
      <c r="P36" s="459">
        <f t="shared" si="21"/>
        <v>172191.09600000005</v>
      </c>
      <c r="Q36" s="459">
        <f t="shared" si="21"/>
        <v>189410.20559999999</v>
      </c>
      <c r="R36" s="459">
        <f t="shared" si="21"/>
        <v>189410.20559999999</v>
      </c>
      <c r="S36" s="459">
        <f t="shared" si="21"/>
        <v>189410.20559999999</v>
      </c>
      <c r="T36" s="459">
        <f t="shared" si="21"/>
        <v>189410.20559999999</v>
      </c>
      <c r="U36" s="459">
        <f t="shared" si="21"/>
        <v>189410.20559999999</v>
      </c>
      <c r="V36" s="459">
        <f t="shared" si="21"/>
        <v>189410.20559999999</v>
      </c>
      <c r="W36" s="459">
        <f t="shared" si="21"/>
        <v>206629.31520000001</v>
      </c>
      <c r="X36" s="459">
        <f t="shared" si="21"/>
        <v>206629.31520000001</v>
      </c>
      <c r="Y36" s="459">
        <f t="shared" si="21"/>
        <v>206629.31520000001</v>
      </c>
      <c r="Z36" s="459">
        <f t="shared" si="21"/>
        <v>206629.31520000001</v>
      </c>
      <c r="AA36" s="459">
        <f>+AA19+AA33</f>
        <v>206629.31520000001</v>
      </c>
      <c r="AB36" s="460">
        <f>+AA35/Masterplan!M3</f>
        <v>1183.1999999999998</v>
      </c>
    </row>
    <row r="37" spans="1:28" x14ac:dyDescent="0.2">
      <c r="A37" s="408"/>
      <c r="B37" s="371"/>
      <c r="D37" s="42" t="s">
        <v>50</v>
      </c>
    </row>
    <row r="38" spans="1:28" ht="7" customHeight="1" x14ac:dyDescent="0.2">
      <c r="A38" s="408"/>
      <c r="B38" s="371"/>
    </row>
    <row r="39" spans="1:28" customFormat="1" ht="13" x14ac:dyDescent="0.15">
      <c r="A39" s="465"/>
      <c r="B39" s="410"/>
      <c r="C39" s="339"/>
      <c r="D39" s="339" t="s">
        <v>246</v>
      </c>
      <c r="E39" s="339"/>
      <c r="F39" s="339"/>
      <c r="G39" s="339"/>
      <c r="H39" s="339"/>
      <c r="I39" s="339"/>
      <c r="J39" s="339"/>
      <c r="K39" s="339"/>
      <c r="L39" s="339"/>
      <c r="M39" s="339"/>
      <c r="N39" s="339"/>
      <c r="O39" s="339"/>
      <c r="P39" s="339"/>
      <c r="Q39" s="339"/>
      <c r="R39" s="339"/>
      <c r="S39" s="339"/>
      <c r="T39" s="339"/>
      <c r="U39" s="339"/>
      <c r="V39" s="339"/>
      <c r="W39" s="339"/>
      <c r="X39" s="339"/>
      <c r="Y39" s="339"/>
      <c r="Z39" s="339"/>
      <c r="AA39" s="339"/>
    </row>
    <row r="40" spans="1:28" s="410" customFormat="1" ht="7" customHeight="1" x14ac:dyDescent="0.15">
      <c r="A40" s="465"/>
      <c r="D40" s="409"/>
      <c r="E40" s="409"/>
      <c r="F40" s="409"/>
      <c r="G40" s="409"/>
      <c r="H40" s="409"/>
      <c r="I40" s="409"/>
      <c r="J40" s="409"/>
      <c r="K40" s="409"/>
      <c r="L40" s="409"/>
      <c r="M40" s="409"/>
      <c r="N40" s="409"/>
      <c r="O40" s="409"/>
      <c r="P40" s="409"/>
      <c r="Q40" s="409"/>
      <c r="R40" s="409"/>
      <c r="S40" s="409"/>
      <c r="T40" s="409"/>
      <c r="U40" s="409"/>
      <c r="V40" s="409"/>
      <c r="W40" s="409"/>
      <c r="X40" s="409"/>
      <c r="Y40" s="409"/>
      <c r="Z40" s="409"/>
      <c r="AA40" s="409"/>
    </row>
    <row r="41" spans="1:28" s="371" customFormat="1" x14ac:dyDescent="0.2">
      <c r="A41" s="408"/>
      <c r="C41" s="484" t="s">
        <v>305</v>
      </c>
      <c r="D41" s="390" t="s">
        <v>74</v>
      </c>
      <c r="E41" s="424" t="s">
        <v>136</v>
      </c>
    </row>
    <row r="42" spans="1:28" s="32" customFormat="1" x14ac:dyDescent="0.2">
      <c r="A42" s="463"/>
      <c r="B42" s="390"/>
      <c r="C42" s="440"/>
      <c r="D42" s="421" t="s">
        <v>51</v>
      </c>
      <c r="E42" s="369"/>
      <c r="F42" s="370">
        <f>SUM(G42:AA42)</f>
        <v>1</v>
      </c>
      <c r="G42" s="411"/>
      <c r="H42" s="376">
        <v>0</v>
      </c>
      <c r="I42" s="376">
        <v>0.5</v>
      </c>
      <c r="J42" s="376">
        <v>0.5</v>
      </c>
      <c r="K42" s="376">
        <v>0</v>
      </c>
      <c r="L42" s="376">
        <v>0</v>
      </c>
      <c r="M42" s="376">
        <v>0</v>
      </c>
      <c r="N42" s="376">
        <v>0</v>
      </c>
      <c r="O42" s="376">
        <v>0</v>
      </c>
      <c r="P42" s="376">
        <v>0</v>
      </c>
      <c r="Q42" s="376">
        <v>0</v>
      </c>
      <c r="R42" s="376">
        <v>0</v>
      </c>
      <c r="S42" s="376">
        <v>0</v>
      </c>
      <c r="T42" s="376">
        <v>0</v>
      </c>
      <c r="U42" s="376">
        <v>0</v>
      </c>
      <c r="V42" s="376">
        <v>0</v>
      </c>
      <c r="W42" s="376">
        <v>0</v>
      </c>
      <c r="X42" s="376">
        <v>0</v>
      </c>
      <c r="Y42" s="376">
        <v>0</v>
      </c>
      <c r="Z42" s="376">
        <v>0</v>
      </c>
      <c r="AA42" s="376">
        <v>0</v>
      </c>
    </row>
    <row r="43" spans="1:28" s="390" customFormat="1" x14ac:dyDescent="0.2">
      <c r="A43" s="463"/>
      <c r="C43" s="440"/>
      <c r="D43" s="372" t="s">
        <v>296</v>
      </c>
      <c r="E43" s="373">
        <f>+Masterplan!G84</f>
        <v>434240</v>
      </c>
      <c r="F43" s="403">
        <f>SUM(G43:AA43)</f>
        <v>-434240</v>
      </c>
      <c r="G43" s="374"/>
      <c r="H43" s="375">
        <f>-H42*$E$43</f>
        <v>0</v>
      </c>
      <c r="I43" s="375">
        <f t="shared" ref="I43:AA43" si="22">-I42*$E$43</f>
        <v>-217120</v>
      </c>
      <c r="J43" s="375">
        <f t="shared" si="22"/>
        <v>-217120</v>
      </c>
      <c r="K43" s="375">
        <f t="shared" si="22"/>
        <v>0</v>
      </c>
      <c r="L43" s="375">
        <f t="shared" si="22"/>
        <v>0</v>
      </c>
      <c r="M43" s="375">
        <f t="shared" si="22"/>
        <v>0</v>
      </c>
      <c r="N43" s="375">
        <f t="shared" si="22"/>
        <v>0</v>
      </c>
      <c r="O43" s="375">
        <f t="shared" si="22"/>
        <v>0</v>
      </c>
      <c r="P43" s="375">
        <f t="shared" si="22"/>
        <v>0</v>
      </c>
      <c r="Q43" s="375">
        <f t="shared" si="22"/>
        <v>0</v>
      </c>
      <c r="R43" s="375">
        <f t="shared" si="22"/>
        <v>0</v>
      </c>
      <c r="S43" s="375">
        <f t="shared" si="22"/>
        <v>0</v>
      </c>
      <c r="T43" s="375">
        <f t="shared" si="22"/>
        <v>0</v>
      </c>
      <c r="U43" s="375">
        <f t="shared" si="22"/>
        <v>0</v>
      </c>
      <c r="V43" s="375">
        <f t="shared" si="22"/>
        <v>0</v>
      </c>
      <c r="W43" s="375">
        <f t="shared" si="22"/>
        <v>0</v>
      </c>
      <c r="X43" s="375">
        <f t="shared" si="22"/>
        <v>0</v>
      </c>
      <c r="Y43" s="375">
        <f t="shared" si="22"/>
        <v>0</v>
      </c>
      <c r="Z43" s="375">
        <f t="shared" si="22"/>
        <v>0</v>
      </c>
      <c r="AA43" s="375">
        <f t="shared" si="22"/>
        <v>0</v>
      </c>
    </row>
    <row r="44" spans="1:28" ht="7" customHeight="1" x14ac:dyDescent="0.2">
      <c r="A44" s="408"/>
      <c r="B44" s="371"/>
      <c r="C44" s="441"/>
      <c r="D44" s="377"/>
      <c r="E44" s="391"/>
      <c r="F44" s="379"/>
      <c r="G44" s="379"/>
      <c r="H44" s="414"/>
      <c r="I44" s="380"/>
      <c r="J44" s="380"/>
      <c r="K44" s="380"/>
      <c r="L44" s="380"/>
      <c r="M44" s="380"/>
      <c r="N44" s="380"/>
      <c r="O44" s="380"/>
      <c r="P44" s="380"/>
      <c r="Q44" s="380"/>
      <c r="R44" s="380"/>
      <c r="S44" s="380"/>
      <c r="T44" s="380"/>
      <c r="U44" s="380"/>
      <c r="V44" s="380"/>
      <c r="W44" s="380"/>
      <c r="X44" s="380"/>
      <c r="Y44" s="380"/>
      <c r="Z44" s="380"/>
      <c r="AA44" s="380"/>
    </row>
    <row r="45" spans="1:28" s="390" customFormat="1" hidden="1" outlineLevel="1" x14ac:dyDescent="0.2">
      <c r="A45" s="463"/>
      <c r="C45" s="440"/>
      <c r="D45" s="377" t="s">
        <v>289</v>
      </c>
      <c r="E45" s="387"/>
      <c r="F45" s="388"/>
      <c r="G45" s="388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</row>
    <row r="46" spans="1:28" s="382" customFormat="1" hidden="1" outlineLevel="1" x14ac:dyDescent="0.2">
      <c r="A46" s="464"/>
      <c r="B46" s="466"/>
      <c r="C46" s="461"/>
      <c r="D46" s="383" t="s">
        <v>290</v>
      </c>
      <c r="E46" s="384"/>
      <c r="F46" s="385"/>
      <c r="G46" s="381"/>
      <c r="H46" s="381">
        <v>0</v>
      </c>
      <c r="I46" s="381">
        <v>0</v>
      </c>
      <c r="J46" s="381">
        <v>0</v>
      </c>
      <c r="K46" s="381">
        <v>2.5000000000000001E-2</v>
      </c>
      <c r="L46" s="381">
        <v>2.5000000000000001E-2</v>
      </c>
      <c r="M46" s="381">
        <v>0.05</v>
      </c>
      <c r="N46" s="381">
        <v>0.05</v>
      </c>
      <c r="O46" s="381">
        <v>7.4999999999999997E-2</v>
      </c>
      <c r="P46" s="381">
        <v>7.4999999999999997E-2</v>
      </c>
      <c r="Q46" s="381">
        <v>0.1</v>
      </c>
      <c r="R46" s="381">
        <v>0.1</v>
      </c>
      <c r="S46" s="381">
        <v>0.1</v>
      </c>
      <c r="T46" s="381">
        <v>0.1</v>
      </c>
      <c r="U46" s="381">
        <v>0.1</v>
      </c>
      <c r="V46" s="381">
        <v>0.1</v>
      </c>
      <c r="W46" s="381">
        <v>0.1</v>
      </c>
      <c r="X46" s="381">
        <v>0.125</v>
      </c>
      <c r="Y46" s="381">
        <v>0.125</v>
      </c>
      <c r="Z46" s="381">
        <v>0.15</v>
      </c>
      <c r="AA46" s="381">
        <v>0.15</v>
      </c>
    </row>
    <row r="47" spans="1:28" s="382" customFormat="1" ht="7" hidden="1" customHeight="1" outlineLevel="1" x14ac:dyDescent="0.2">
      <c r="A47" s="464"/>
      <c r="B47" s="466"/>
      <c r="C47" s="461"/>
      <c r="D47" s="416"/>
      <c r="E47" s="391"/>
      <c r="F47" s="417"/>
      <c r="G47" s="418"/>
      <c r="H47" s="418"/>
      <c r="I47" s="418"/>
      <c r="J47" s="418"/>
      <c r="K47" s="418"/>
      <c r="L47" s="418"/>
      <c r="M47" s="418"/>
      <c r="N47" s="418"/>
      <c r="O47" s="418"/>
      <c r="P47" s="418"/>
      <c r="Q47" s="418"/>
      <c r="R47" s="418"/>
      <c r="S47" s="418"/>
      <c r="T47" s="418"/>
      <c r="U47" s="418"/>
      <c r="V47" s="418"/>
      <c r="W47" s="418"/>
      <c r="X47" s="418"/>
      <c r="Y47" s="418"/>
      <c r="Z47" s="418"/>
      <c r="AA47" s="418"/>
    </row>
    <row r="48" spans="1:28" hidden="1" outlineLevel="1" x14ac:dyDescent="0.2">
      <c r="A48" s="408"/>
      <c r="B48" s="371"/>
      <c r="C48" s="441"/>
      <c r="D48" s="377" t="s">
        <v>201</v>
      </c>
      <c r="E48" s="379"/>
      <c r="F48" s="392"/>
      <c r="G48" s="379"/>
      <c r="H48" s="348"/>
      <c r="I48" s="348"/>
      <c r="J48" s="348"/>
      <c r="K48" s="348"/>
      <c r="L48" s="348"/>
      <c r="M48" s="348"/>
      <c r="N48" s="348"/>
      <c r="O48" s="348"/>
      <c r="P48" s="348"/>
      <c r="Q48" s="348"/>
      <c r="R48" s="348"/>
      <c r="S48" s="348"/>
      <c r="T48" s="348"/>
      <c r="U48" s="348"/>
      <c r="V48" s="348"/>
      <c r="W48" s="348"/>
      <c r="X48" s="400">
        <f>((Masterplan!$G$74*Masterplan!$G$70)*6)*(1+X46)</f>
        <v>140184</v>
      </c>
      <c r="Y48" s="400">
        <f>((Masterplan!$G$74*Masterplan!$G$70)*6)*(1+Y46)</f>
        <v>140184</v>
      </c>
      <c r="Z48" s="400">
        <f>((Masterplan!$G$74*Masterplan!$G$70)*6)*(1+Z46)</f>
        <v>143299.19999999998</v>
      </c>
      <c r="AA48" s="400">
        <f>((Masterplan!$G$74*Masterplan!$G$70)*6)*(1+AA46)</f>
        <v>143299.19999999998</v>
      </c>
    </row>
    <row r="49" spans="1:28" hidden="1" outlineLevel="1" x14ac:dyDescent="0.2">
      <c r="A49" s="408"/>
      <c r="B49" s="371"/>
      <c r="C49" s="441"/>
      <c r="D49" s="377" t="s">
        <v>202</v>
      </c>
      <c r="E49" s="379"/>
      <c r="F49" s="379">
        <f>2.5*Masterplan!G71*12</f>
        <v>113280</v>
      </c>
      <c r="G49" s="379"/>
      <c r="H49" s="400">
        <f t="shared" ref="H49:AA49" si="23">$F$49*(1+H46)/2</f>
        <v>56640</v>
      </c>
      <c r="I49" s="400">
        <f t="shared" si="23"/>
        <v>56640</v>
      </c>
      <c r="J49" s="400">
        <f t="shared" si="23"/>
        <v>56640</v>
      </c>
      <c r="K49" s="400">
        <f t="shared" si="23"/>
        <v>58055.999999999993</v>
      </c>
      <c r="L49" s="400">
        <f t="shared" si="23"/>
        <v>58055.999999999993</v>
      </c>
      <c r="M49" s="400">
        <f t="shared" si="23"/>
        <v>59472</v>
      </c>
      <c r="N49" s="400">
        <f t="shared" si="23"/>
        <v>59472</v>
      </c>
      <c r="O49" s="400">
        <f t="shared" si="23"/>
        <v>60888</v>
      </c>
      <c r="P49" s="400">
        <f t="shared" si="23"/>
        <v>60888</v>
      </c>
      <c r="Q49" s="400">
        <f t="shared" si="23"/>
        <v>62304.000000000007</v>
      </c>
      <c r="R49" s="400">
        <f t="shared" si="23"/>
        <v>62304.000000000007</v>
      </c>
      <c r="S49" s="400">
        <f t="shared" si="23"/>
        <v>62304.000000000007</v>
      </c>
      <c r="T49" s="400">
        <f t="shared" si="23"/>
        <v>62304.000000000007</v>
      </c>
      <c r="U49" s="400">
        <f t="shared" si="23"/>
        <v>62304.000000000007</v>
      </c>
      <c r="V49" s="400">
        <f t="shared" si="23"/>
        <v>62304.000000000007</v>
      </c>
      <c r="W49" s="400">
        <f t="shared" si="23"/>
        <v>62304.000000000007</v>
      </c>
      <c r="X49" s="400">
        <f t="shared" si="23"/>
        <v>63720</v>
      </c>
      <c r="Y49" s="400">
        <f t="shared" si="23"/>
        <v>63720</v>
      </c>
      <c r="Z49" s="400">
        <f t="shared" si="23"/>
        <v>65135.999999999993</v>
      </c>
      <c r="AA49" s="400">
        <f t="shared" si="23"/>
        <v>65135.999999999993</v>
      </c>
    </row>
    <row r="50" spans="1:28" hidden="1" outlineLevel="1" x14ac:dyDescent="0.2">
      <c r="A50" s="408"/>
      <c r="B50" s="371"/>
      <c r="C50" s="441"/>
      <c r="D50" s="377" t="s">
        <v>207</v>
      </c>
      <c r="E50" s="379"/>
      <c r="F50" s="379">
        <v>0</v>
      </c>
      <c r="G50" s="379"/>
      <c r="H50" s="400">
        <v>0</v>
      </c>
      <c r="I50" s="400">
        <v>0</v>
      </c>
      <c r="J50" s="400">
        <v>0</v>
      </c>
      <c r="K50" s="400">
        <v>0</v>
      </c>
      <c r="L50" s="400">
        <v>0</v>
      </c>
      <c r="M50" s="400">
        <v>0</v>
      </c>
      <c r="N50" s="400">
        <v>0</v>
      </c>
      <c r="O50" s="400">
        <v>0</v>
      </c>
      <c r="P50" s="400">
        <v>0</v>
      </c>
      <c r="Q50" s="400">
        <v>0</v>
      </c>
      <c r="R50" s="400">
        <v>0</v>
      </c>
      <c r="S50" s="400">
        <v>0</v>
      </c>
      <c r="T50" s="400">
        <v>0</v>
      </c>
      <c r="U50" s="400">
        <v>0</v>
      </c>
      <c r="V50" s="400">
        <v>0</v>
      </c>
      <c r="W50" s="400">
        <v>0</v>
      </c>
      <c r="X50" s="400">
        <v>0</v>
      </c>
      <c r="Y50" s="400">
        <v>0</v>
      </c>
      <c r="Z50" s="400">
        <v>0</v>
      </c>
      <c r="AA50" s="400">
        <v>0</v>
      </c>
    </row>
    <row r="51" spans="1:28" hidden="1" outlineLevel="1" x14ac:dyDescent="0.2">
      <c r="A51" s="408"/>
      <c r="B51" s="371"/>
      <c r="C51" s="441"/>
      <c r="D51" s="386" t="s">
        <v>209</v>
      </c>
      <c r="E51" s="379"/>
      <c r="F51" s="392"/>
      <c r="G51" s="369"/>
      <c r="H51" s="439">
        <f>SUM(H48:H50)</f>
        <v>56640</v>
      </c>
      <c r="I51" s="439">
        <f t="shared" ref="I51:AA51" si="24">SUM(I48:I50)</f>
        <v>56640</v>
      </c>
      <c r="J51" s="439">
        <f t="shared" si="24"/>
        <v>56640</v>
      </c>
      <c r="K51" s="439">
        <f t="shared" si="24"/>
        <v>58055.999999999993</v>
      </c>
      <c r="L51" s="439">
        <f t="shared" si="24"/>
        <v>58055.999999999993</v>
      </c>
      <c r="M51" s="439">
        <f t="shared" si="24"/>
        <v>59472</v>
      </c>
      <c r="N51" s="439">
        <f t="shared" si="24"/>
        <v>59472</v>
      </c>
      <c r="O51" s="439">
        <f t="shared" si="24"/>
        <v>60888</v>
      </c>
      <c r="P51" s="439">
        <f t="shared" si="24"/>
        <v>60888</v>
      </c>
      <c r="Q51" s="439">
        <f t="shared" si="24"/>
        <v>62304.000000000007</v>
      </c>
      <c r="R51" s="439">
        <f t="shared" si="24"/>
        <v>62304.000000000007</v>
      </c>
      <c r="S51" s="439">
        <f t="shared" si="24"/>
        <v>62304.000000000007</v>
      </c>
      <c r="T51" s="439">
        <f t="shared" si="24"/>
        <v>62304.000000000007</v>
      </c>
      <c r="U51" s="439">
        <f t="shared" si="24"/>
        <v>62304.000000000007</v>
      </c>
      <c r="V51" s="439">
        <f t="shared" si="24"/>
        <v>62304.000000000007</v>
      </c>
      <c r="W51" s="439">
        <f t="shared" si="24"/>
        <v>62304.000000000007</v>
      </c>
      <c r="X51" s="439">
        <f t="shared" si="24"/>
        <v>203904</v>
      </c>
      <c r="Y51" s="439">
        <f t="shared" si="24"/>
        <v>203904</v>
      </c>
      <c r="Z51" s="439">
        <f t="shared" si="24"/>
        <v>208435.19999999998</v>
      </c>
      <c r="AA51" s="439">
        <f t="shared" si="24"/>
        <v>208435.19999999998</v>
      </c>
    </row>
    <row r="52" spans="1:28" hidden="1" outlineLevel="1" x14ac:dyDescent="0.2">
      <c r="A52" s="408"/>
      <c r="B52" s="371"/>
      <c r="C52" s="441"/>
      <c r="D52" s="377" t="s">
        <v>203</v>
      </c>
      <c r="E52" s="379"/>
      <c r="F52" s="379">
        <f>-2*Masterplan!G71*12</f>
        <v>-90624</v>
      </c>
      <c r="G52" s="379"/>
      <c r="H52" s="400">
        <f t="shared" ref="H52:AA52" si="25">($F$52/2)*(1+H46)</f>
        <v>-45312</v>
      </c>
      <c r="I52" s="400">
        <f t="shared" si="25"/>
        <v>-45312</v>
      </c>
      <c r="J52" s="400">
        <f t="shared" si="25"/>
        <v>-45312</v>
      </c>
      <c r="K52" s="400">
        <f t="shared" si="25"/>
        <v>-46444.799999999996</v>
      </c>
      <c r="L52" s="400">
        <f t="shared" si="25"/>
        <v>-46444.799999999996</v>
      </c>
      <c r="M52" s="400">
        <f t="shared" si="25"/>
        <v>-47577.599999999999</v>
      </c>
      <c r="N52" s="400">
        <f t="shared" si="25"/>
        <v>-47577.599999999999</v>
      </c>
      <c r="O52" s="400">
        <f t="shared" si="25"/>
        <v>-48710.400000000001</v>
      </c>
      <c r="P52" s="400">
        <f t="shared" si="25"/>
        <v>-48710.400000000001</v>
      </c>
      <c r="Q52" s="400">
        <f t="shared" si="25"/>
        <v>-49843.200000000004</v>
      </c>
      <c r="R52" s="400">
        <f t="shared" si="25"/>
        <v>-49843.200000000004</v>
      </c>
      <c r="S52" s="400">
        <f t="shared" si="25"/>
        <v>-49843.200000000004</v>
      </c>
      <c r="T52" s="400">
        <f t="shared" si="25"/>
        <v>-49843.200000000004</v>
      </c>
      <c r="U52" s="400">
        <f t="shared" si="25"/>
        <v>-49843.200000000004</v>
      </c>
      <c r="V52" s="400">
        <f t="shared" si="25"/>
        <v>-49843.200000000004</v>
      </c>
      <c r="W52" s="400">
        <f t="shared" si="25"/>
        <v>-49843.200000000004</v>
      </c>
      <c r="X52" s="400">
        <f t="shared" si="25"/>
        <v>-50976</v>
      </c>
      <c r="Y52" s="400">
        <f t="shared" si="25"/>
        <v>-50976</v>
      </c>
      <c r="Z52" s="400">
        <f t="shared" si="25"/>
        <v>-52108.799999999996</v>
      </c>
      <c r="AA52" s="400">
        <f t="shared" si="25"/>
        <v>-52108.799999999996</v>
      </c>
    </row>
    <row r="53" spans="1:28" hidden="1" outlineLevel="1" x14ac:dyDescent="0.2">
      <c r="A53" s="408"/>
      <c r="B53" s="371"/>
      <c r="C53" s="441"/>
      <c r="D53" s="377" t="s">
        <v>204</v>
      </c>
      <c r="E53" s="379"/>
      <c r="F53" s="379">
        <f>-1.5*Masterplan!G71*12</f>
        <v>-67968</v>
      </c>
      <c r="G53" s="379"/>
      <c r="H53" s="400">
        <f t="shared" ref="H53:AA53" si="26">$F$53*(1+H46)/2</f>
        <v>-33984</v>
      </c>
      <c r="I53" s="400">
        <f t="shared" si="26"/>
        <v>-33984</v>
      </c>
      <c r="J53" s="400">
        <f t="shared" si="26"/>
        <v>-33984</v>
      </c>
      <c r="K53" s="400">
        <f t="shared" si="26"/>
        <v>-34833.599999999999</v>
      </c>
      <c r="L53" s="400">
        <f t="shared" si="26"/>
        <v>-34833.599999999999</v>
      </c>
      <c r="M53" s="400">
        <f t="shared" si="26"/>
        <v>-35683.200000000004</v>
      </c>
      <c r="N53" s="400">
        <f t="shared" si="26"/>
        <v>-35683.200000000004</v>
      </c>
      <c r="O53" s="400">
        <f t="shared" si="26"/>
        <v>-36532.799999999996</v>
      </c>
      <c r="P53" s="400">
        <f t="shared" si="26"/>
        <v>-36532.799999999996</v>
      </c>
      <c r="Q53" s="400">
        <f t="shared" si="26"/>
        <v>-37382.400000000001</v>
      </c>
      <c r="R53" s="400">
        <f t="shared" si="26"/>
        <v>-37382.400000000001</v>
      </c>
      <c r="S53" s="400">
        <f t="shared" si="26"/>
        <v>-37382.400000000001</v>
      </c>
      <c r="T53" s="400">
        <f t="shared" si="26"/>
        <v>-37382.400000000001</v>
      </c>
      <c r="U53" s="400">
        <f t="shared" si="26"/>
        <v>-37382.400000000001</v>
      </c>
      <c r="V53" s="400">
        <f t="shared" si="26"/>
        <v>-37382.400000000001</v>
      </c>
      <c r="W53" s="400">
        <f t="shared" si="26"/>
        <v>-37382.400000000001</v>
      </c>
      <c r="X53" s="400">
        <f t="shared" si="26"/>
        <v>-38232</v>
      </c>
      <c r="Y53" s="400">
        <f t="shared" si="26"/>
        <v>-38232</v>
      </c>
      <c r="Z53" s="400">
        <f t="shared" si="26"/>
        <v>-39081.599999999999</v>
      </c>
      <c r="AA53" s="400">
        <f t="shared" si="26"/>
        <v>-39081.599999999999</v>
      </c>
    </row>
    <row r="54" spans="1:28" hidden="1" outlineLevel="1" x14ac:dyDescent="0.2">
      <c r="A54" s="408"/>
      <c r="B54" s="371"/>
      <c r="C54" s="441"/>
      <c r="D54" s="377" t="s">
        <v>205</v>
      </c>
      <c r="E54" s="379"/>
      <c r="F54" s="392"/>
      <c r="G54" s="379"/>
      <c r="H54" s="400">
        <v>0</v>
      </c>
      <c r="I54" s="400">
        <v>0</v>
      </c>
      <c r="J54" s="400">
        <v>0</v>
      </c>
      <c r="K54" s="400">
        <v>0</v>
      </c>
      <c r="L54" s="400">
        <v>0</v>
      </c>
      <c r="M54" s="400">
        <v>0</v>
      </c>
      <c r="N54" s="400">
        <v>0</v>
      </c>
      <c r="O54" s="400">
        <v>0</v>
      </c>
      <c r="P54" s="400">
        <v>0</v>
      </c>
      <c r="Q54" s="400">
        <v>0</v>
      </c>
      <c r="R54" s="400">
        <v>0</v>
      </c>
      <c r="S54" s="400">
        <v>0</v>
      </c>
      <c r="T54" s="400">
        <v>0</v>
      </c>
      <c r="U54" s="400">
        <v>0</v>
      </c>
      <c r="V54" s="400">
        <v>0</v>
      </c>
      <c r="W54" s="400">
        <v>0</v>
      </c>
      <c r="X54" s="400">
        <v>0</v>
      </c>
      <c r="Y54" s="400">
        <v>0</v>
      </c>
      <c r="Z54" s="400">
        <v>0</v>
      </c>
      <c r="AA54" s="400">
        <v>0</v>
      </c>
    </row>
    <row r="55" spans="1:28" ht="7" hidden="1" customHeight="1" outlineLevel="1" x14ac:dyDescent="0.2">
      <c r="A55" s="408"/>
      <c r="B55" s="371"/>
      <c r="C55" s="441"/>
      <c r="D55" s="377"/>
      <c r="E55" s="379"/>
      <c r="F55" s="392"/>
      <c r="G55" s="379"/>
      <c r="H55" s="400"/>
      <c r="I55" s="400"/>
      <c r="J55" s="400"/>
      <c r="K55" s="400"/>
      <c r="L55" s="400"/>
      <c r="M55" s="400"/>
      <c r="N55" s="400"/>
      <c r="O55" s="400"/>
      <c r="P55" s="400"/>
      <c r="Q55" s="400"/>
      <c r="R55" s="400"/>
      <c r="S55" s="400"/>
      <c r="T55" s="400"/>
      <c r="U55" s="400"/>
      <c r="V55" s="400"/>
      <c r="W55" s="400"/>
      <c r="X55" s="400"/>
      <c r="Y55" s="400"/>
      <c r="Z55" s="400"/>
      <c r="AA55" s="400"/>
    </row>
    <row r="56" spans="1:28" s="327" customFormat="1" collapsed="1" x14ac:dyDescent="0.2">
      <c r="A56" s="429"/>
      <c r="B56" s="388"/>
      <c r="C56" s="467"/>
      <c r="D56" s="395" t="s">
        <v>208</v>
      </c>
      <c r="E56" s="396"/>
      <c r="F56" s="397">
        <f>SUM(G56:AA56)</f>
        <v>78729.600000000093</v>
      </c>
      <c r="H56" s="328">
        <f>SUM(H51:H54)</f>
        <v>-22656</v>
      </c>
      <c r="I56" s="328">
        <f t="shared" ref="I56:AA56" si="27">SUM(I51:I54)</f>
        <v>-22656</v>
      </c>
      <c r="J56" s="328">
        <f t="shared" si="27"/>
        <v>-22656</v>
      </c>
      <c r="K56" s="328">
        <f t="shared" si="27"/>
        <v>-23222.400000000001</v>
      </c>
      <c r="L56" s="328">
        <f t="shared" si="27"/>
        <v>-23222.400000000001</v>
      </c>
      <c r="M56" s="328">
        <f t="shared" si="27"/>
        <v>-23788.800000000003</v>
      </c>
      <c r="N56" s="328">
        <f t="shared" si="27"/>
        <v>-23788.800000000003</v>
      </c>
      <c r="O56" s="328">
        <f t="shared" si="27"/>
        <v>-24355.199999999997</v>
      </c>
      <c r="P56" s="328">
        <f t="shared" si="27"/>
        <v>-24355.199999999997</v>
      </c>
      <c r="Q56" s="328">
        <f t="shared" si="27"/>
        <v>-24921.599999999999</v>
      </c>
      <c r="R56" s="328">
        <f t="shared" si="27"/>
        <v>-24921.599999999999</v>
      </c>
      <c r="S56" s="328">
        <f t="shared" si="27"/>
        <v>-24921.599999999999</v>
      </c>
      <c r="T56" s="328">
        <f t="shared" si="27"/>
        <v>-24921.599999999999</v>
      </c>
      <c r="U56" s="328">
        <f t="shared" si="27"/>
        <v>-24921.599999999999</v>
      </c>
      <c r="V56" s="328">
        <f t="shared" si="27"/>
        <v>-24921.599999999999</v>
      </c>
      <c r="W56" s="328">
        <f t="shared" si="27"/>
        <v>-24921.599999999999</v>
      </c>
      <c r="X56" s="328">
        <f t="shared" si="27"/>
        <v>114696</v>
      </c>
      <c r="Y56" s="328">
        <f t="shared" si="27"/>
        <v>114696</v>
      </c>
      <c r="Z56" s="328">
        <f t="shared" si="27"/>
        <v>117244.79999999999</v>
      </c>
      <c r="AA56" s="328">
        <f t="shared" si="27"/>
        <v>117244.79999999999</v>
      </c>
    </row>
    <row r="57" spans="1:28" ht="7" customHeight="1" x14ac:dyDescent="0.2">
      <c r="A57" s="408"/>
      <c r="B57" s="371"/>
      <c r="C57" s="441"/>
      <c r="D57" s="377"/>
      <c r="E57" s="379"/>
      <c r="F57" s="392"/>
      <c r="G57" s="379"/>
      <c r="H57" s="348"/>
      <c r="I57" s="348"/>
      <c r="J57" s="348"/>
      <c r="K57" s="348"/>
      <c r="L57" s="348"/>
      <c r="M57" s="348"/>
      <c r="N57" s="348"/>
      <c r="O57" s="348"/>
      <c r="P57" s="348"/>
      <c r="Q57" s="348"/>
      <c r="R57" s="348"/>
      <c r="S57" s="348"/>
      <c r="T57" s="348"/>
      <c r="U57" s="348"/>
      <c r="V57" s="348"/>
      <c r="W57" s="348"/>
      <c r="X57" s="400"/>
      <c r="Y57" s="348"/>
      <c r="Z57" s="348"/>
      <c r="AA57" s="348"/>
    </row>
    <row r="58" spans="1:28" s="441" customFormat="1" x14ac:dyDescent="0.2">
      <c r="A58" s="408"/>
      <c r="B58" s="371"/>
      <c r="D58" s="443" t="s">
        <v>333</v>
      </c>
      <c r="E58" s="443">
        <f>+(Masterplan!G77+Masterplan!G78)/2</f>
        <v>99686.400000000009</v>
      </c>
      <c r="F58" s="443">
        <f>SUM(G58:AA58)</f>
        <v>78729.600000000093</v>
      </c>
      <c r="G58" s="443"/>
      <c r="H58" s="444">
        <f t="shared" ref="H58:W58" si="28">H51+H52+H53+H54</f>
        <v>-22656</v>
      </c>
      <c r="I58" s="444">
        <f t="shared" si="28"/>
        <v>-22656</v>
      </c>
      <c r="J58" s="444">
        <f t="shared" si="28"/>
        <v>-22656</v>
      </c>
      <c r="K58" s="445">
        <f t="shared" si="28"/>
        <v>-23222.400000000001</v>
      </c>
      <c r="L58" s="445">
        <f t="shared" si="28"/>
        <v>-23222.400000000001</v>
      </c>
      <c r="M58" s="445">
        <f t="shared" si="28"/>
        <v>-23788.800000000003</v>
      </c>
      <c r="N58" s="445">
        <f t="shared" si="28"/>
        <v>-23788.800000000003</v>
      </c>
      <c r="O58" s="445">
        <f t="shared" si="28"/>
        <v>-24355.199999999997</v>
      </c>
      <c r="P58" s="445">
        <f t="shared" si="28"/>
        <v>-24355.199999999997</v>
      </c>
      <c r="Q58" s="445">
        <f t="shared" si="28"/>
        <v>-24921.599999999999</v>
      </c>
      <c r="R58" s="445">
        <f t="shared" si="28"/>
        <v>-24921.599999999999</v>
      </c>
      <c r="S58" s="445">
        <f t="shared" si="28"/>
        <v>-24921.599999999999</v>
      </c>
      <c r="T58" s="445">
        <f t="shared" si="28"/>
        <v>-24921.599999999999</v>
      </c>
      <c r="U58" s="445">
        <f t="shared" si="28"/>
        <v>-24921.599999999999</v>
      </c>
      <c r="V58" s="445">
        <f t="shared" si="28"/>
        <v>-24921.599999999999</v>
      </c>
      <c r="W58" s="445">
        <f t="shared" si="28"/>
        <v>-24921.599999999999</v>
      </c>
      <c r="X58" s="445">
        <f>X51+X52+X53+X54</f>
        <v>114696</v>
      </c>
      <c r="Y58" s="445">
        <f t="shared" ref="Y58:AA58" si="29">Y51+Y52+Y53+Y54</f>
        <v>114696</v>
      </c>
      <c r="Z58" s="445">
        <f t="shared" si="29"/>
        <v>117244.79999999999</v>
      </c>
      <c r="AA58" s="445">
        <f t="shared" si="29"/>
        <v>117244.79999999999</v>
      </c>
      <c r="AB58" s="446"/>
    </row>
    <row r="59" spans="1:28" ht="21" customHeight="1" x14ac:dyDescent="0.2">
      <c r="A59" s="408"/>
      <c r="B59" s="371"/>
    </row>
    <row r="60" spans="1:28" s="371" customFormat="1" x14ac:dyDescent="0.2">
      <c r="A60" s="408"/>
      <c r="C60" s="485" t="s">
        <v>306</v>
      </c>
      <c r="D60" s="388" t="s">
        <v>144</v>
      </c>
      <c r="E60" s="379"/>
      <c r="F60" s="379"/>
    </row>
    <row r="61" spans="1:28" x14ac:dyDescent="0.2">
      <c r="A61" s="408"/>
      <c r="B61" s="371"/>
      <c r="C61" s="33"/>
      <c r="D61" s="368" t="s">
        <v>51</v>
      </c>
      <c r="E61" s="369"/>
      <c r="F61" s="370">
        <f>SUM(G61:AA61)</f>
        <v>0.99999999999999989</v>
      </c>
      <c r="G61" s="411"/>
      <c r="H61" s="376">
        <v>0.3</v>
      </c>
      <c r="I61" s="376">
        <v>0.3</v>
      </c>
      <c r="J61" s="376">
        <v>0.3</v>
      </c>
      <c r="K61" s="376">
        <v>0.1</v>
      </c>
      <c r="L61" s="376">
        <v>0</v>
      </c>
      <c r="M61" s="376">
        <v>0</v>
      </c>
      <c r="N61" s="376">
        <v>0</v>
      </c>
      <c r="O61" s="376">
        <v>0</v>
      </c>
      <c r="P61" s="376">
        <v>0</v>
      </c>
      <c r="Q61" s="376">
        <v>0</v>
      </c>
      <c r="R61" s="376">
        <v>0</v>
      </c>
      <c r="S61" s="376">
        <v>0</v>
      </c>
      <c r="T61" s="376">
        <v>0</v>
      </c>
      <c r="U61" s="376">
        <v>0</v>
      </c>
      <c r="V61" s="376">
        <v>0</v>
      </c>
      <c r="W61" s="376">
        <v>0</v>
      </c>
      <c r="X61" s="376">
        <v>0</v>
      </c>
      <c r="Y61" s="376">
        <v>0</v>
      </c>
      <c r="Z61" s="376">
        <v>0</v>
      </c>
      <c r="AA61" s="376">
        <v>0</v>
      </c>
    </row>
    <row r="62" spans="1:28" s="371" customFormat="1" x14ac:dyDescent="0.2">
      <c r="A62" s="408"/>
      <c r="C62" s="33"/>
      <c r="D62" s="372" t="s">
        <v>291</v>
      </c>
      <c r="E62" s="373">
        <f>+Masterplan!C84+Masterplan!D84+Masterplan!E84+Masterplan!F84+Masterplan!I84</f>
        <v>2504297.5</v>
      </c>
      <c r="F62" s="403">
        <f>SUM(G62:AA62)</f>
        <v>-2504297.5</v>
      </c>
      <c r="G62" s="374"/>
      <c r="H62" s="375">
        <f t="shared" ref="H62:AA62" si="30">-$E$62*H61</f>
        <v>-751289.25</v>
      </c>
      <c r="I62" s="375">
        <f t="shared" si="30"/>
        <v>-751289.25</v>
      </c>
      <c r="J62" s="375">
        <f t="shared" si="30"/>
        <v>-751289.25</v>
      </c>
      <c r="K62" s="375">
        <f t="shared" si="30"/>
        <v>-250429.75</v>
      </c>
      <c r="L62" s="375">
        <f t="shared" si="30"/>
        <v>0</v>
      </c>
      <c r="M62" s="375">
        <f t="shared" si="30"/>
        <v>0</v>
      </c>
      <c r="N62" s="375">
        <f t="shared" si="30"/>
        <v>0</v>
      </c>
      <c r="O62" s="375">
        <f t="shared" si="30"/>
        <v>0</v>
      </c>
      <c r="P62" s="375">
        <f t="shared" si="30"/>
        <v>0</v>
      </c>
      <c r="Q62" s="375">
        <f t="shared" si="30"/>
        <v>0</v>
      </c>
      <c r="R62" s="375">
        <f t="shared" si="30"/>
        <v>0</v>
      </c>
      <c r="S62" s="375">
        <f t="shared" si="30"/>
        <v>0</v>
      </c>
      <c r="T62" s="375">
        <f t="shared" si="30"/>
        <v>0</v>
      </c>
      <c r="U62" s="375">
        <f t="shared" si="30"/>
        <v>0</v>
      </c>
      <c r="V62" s="375">
        <f t="shared" si="30"/>
        <v>0</v>
      </c>
      <c r="W62" s="375">
        <f t="shared" si="30"/>
        <v>0</v>
      </c>
      <c r="X62" s="375">
        <f t="shared" si="30"/>
        <v>0</v>
      </c>
      <c r="Y62" s="375">
        <f t="shared" si="30"/>
        <v>0</v>
      </c>
      <c r="Z62" s="375">
        <f t="shared" si="30"/>
        <v>0</v>
      </c>
      <c r="AA62" s="375">
        <f t="shared" si="30"/>
        <v>0</v>
      </c>
    </row>
    <row r="63" spans="1:28" s="371" customFormat="1" ht="7" customHeight="1" x14ac:dyDescent="0.2">
      <c r="A63" s="408"/>
      <c r="C63" s="33"/>
      <c r="D63" s="377"/>
      <c r="E63" s="378"/>
      <c r="F63" s="404"/>
      <c r="G63" s="379"/>
      <c r="H63" s="380"/>
      <c r="I63" s="380"/>
      <c r="J63" s="380"/>
      <c r="K63" s="380"/>
      <c r="L63" s="380"/>
      <c r="M63" s="380"/>
      <c r="N63" s="380"/>
      <c r="O63" s="380"/>
      <c r="P63" s="380"/>
      <c r="Q63" s="380"/>
      <c r="R63" s="380"/>
      <c r="S63" s="380"/>
      <c r="T63" s="380"/>
      <c r="U63" s="380"/>
      <c r="V63" s="380"/>
      <c r="W63" s="380"/>
      <c r="X63" s="380"/>
      <c r="Y63" s="380"/>
      <c r="Z63" s="380"/>
      <c r="AA63" s="380"/>
    </row>
    <row r="64" spans="1:28" s="390" customFormat="1" hidden="1" outlineLevel="1" x14ac:dyDescent="0.2">
      <c r="A64" s="463"/>
      <c r="C64" s="469"/>
      <c r="D64" s="377" t="s">
        <v>289</v>
      </c>
      <c r="E64" s="387"/>
      <c r="F64" s="388"/>
      <c r="G64" s="388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</row>
    <row r="65" spans="1:28" s="382" customFormat="1" hidden="1" outlineLevel="1" x14ac:dyDescent="0.2">
      <c r="A65" s="464"/>
      <c r="B65" s="466"/>
      <c r="C65" s="470"/>
      <c r="D65" s="383" t="s">
        <v>290</v>
      </c>
      <c r="E65" s="384"/>
      <c r="F65" s="385"/>
      <c r="G65" s="381"/>
      <c r="H65" s="381">
        <v>-0.2</v>
      </c>
      <c r="I65" s="381">
        <v>-0.2</v>
      </c>
      <c r="J65" s="381">
        <v>-0.2</v>
      </c>
      <c r="K65" s="381">
        <v>-0.2</v>
      </c>
      <c r="L65" s="381">
        <v>-0.2</v>
      </c>
      <c r="M65" s="381">
        <v>-0.15</v>
      </c>
      <c r="N65" s="381">
        <v>-0.1</v>
      </c>
      <c r="O65" s="381">
        <v>-0.05</v>
      </c>
      <c r="P65" s="381">
        <v>0</v>
      </c>
      <c r="Q65" s="381">
        <v>0</v>
      </c>
      <c r="R65" s="381">
        <v>0.05</v>
      </c>
      <c r="S65" s="381">
        <v>0.05</v>
      </c>
      <c r="T65" s="381">
        <v>7.4999999999999997E-2</v>
      </c>
      <c r="U65" s="381">
        <v>7.4999999999999997E-2</v>
      </c>
      <c r="V65" s="381">
        <v>0.1</v>
      </c>
      <c r="W65" s="381">
        <v>0.1</v>
      </c>
      <c r="X65" s="381">
        <v>0.125</v>
      </c>
      <c r="Y65" s="381">
        <v>0.125</v>
      </c>
      <c r="Z65" s="381">
        <v>0.15</v>
      </c>
      <c r="AA65" s="381">
        <v>0.15</v>
      </c>
    </row>
    <row r="66" spans="1:28" s="382" customFormat="1" ht="7" hidden="1" customHeight="1" outlineLevel="1" x14ac:dyDescent="0.2">
      <c r="A66" s="464"/>
      <c r="B66" s="466"/>
      <c r="C66" s="470"/>
      <c r="D66" s="416"/>
      <c r="E66" s="391"/>
      <c r="F66" s="417"/>
      <c r="G66" s="418"/>
      <c r="H66" s="418"/>
      <c r="I66" s="418"/>
      <c r="J66" s="418"/>
      <c r="K66" s="418"/>
      <c r="L66" s="418"/>
      <c r="M66" s="418"/>
      <c r="N66" s="418"/>
      <c r="O66" s="418"/>
      <c r="P66" s="418"/>
      <c r="Q66" s="418"/>
      <c r="R66" s="418"/>
      <c r="S66" s="418"/>
      <c r="T66" s="418"/>
      <c r="U66" s="418"/>
      <c r="V66" s="418"/>
      <c r="W66" s="418"/>
      <c r="X66" s="418"/>
      <c r="Y66" s="418"/>
      <c r="Z66" s="418"/>
      <c r="AA66" s="418"/>
    </row>
    <row r="67" spans="1:28" hidden="1" outlineLevel="1" x14ac:dyDescent="0.2">
      <c r="A67" s="408"/>
      <c r="B67" s="371"/>
      <c r="C67" s="33"/>
      <c r="D67" s="377" t="s">
        <v>201</v>
      </c>
      <c r="E67" s="391"/>
      <c r="F67" s="379">
        <f>SUMPRODUCT(Masterplan!C71:F71,Masterplan!C74:F74)*12</f>
        <v>1240668</v>
      </c>
      <c r="G67" s="379"/>
      <c r="H67" s="379"/>
      <c r="I67" s="379"/>
      <c r="J67" s="379"/>
      <c r="K67" s="379"/>
      <c r="L67" s="400">
        <f>$F67*(1+L$65)/2</f>
        <v>496267.2</v>
      </c>
      <c r="M67" s="400">
        <f t="shared" ref="M67:AA69" si="31">$F67*(1+M$65)/2</f>
        <v>527283.9</v>
      </c>
      <c r="N67" s="400">
        <f t="shared" si="31"/>
        <v>558300.6</v>
      </c>
      <c r="O67" s="400">
        <f t="shared" si="31"/>
        <v>589317.29999999993</v>
      </c>
      <c r="P67" s="400">
        <f t="shared" si="31"/>
        <v>620334</v>
      </c>
      <c r="Q67" s="400">
        <f t="shared" si="31"/>
        <v>620334</v>
      </c>
      <c r="R67" s="400">
        <f t="shared" si="31"/>
        <v>651350.70000000007</v>
      </c>
      <c r="S67" s="400">
        <f t="shared" si="31"/>
        <v>651350.70000000007</v>
      </c>
      <c r="T67" s="400">
        <f t="shared" si="31"/>
        <v>666859.04999999993</v>
      </c>
      <c r="U67" s="400">
        <f t="shared" si="31"/>
        <v>666859.04999999993</v>
      </c>
      <c r="V67" s="400">
        <f t="shared" si="31"/>
        <v>682367.4</v>
      </c>
      <c r="W67" s="400">
        <f t="shared" si="31"/>
        <v>682367.4</v>
      </c>
      <c r="X67" s="400">
        <f t="shared" si="31"/>
        <v>697875.75</v>
      </c>
      <c r="Y67" s="400">
        <f t="shared" si="31"/>
        <v>697875.75</v>
      </c>
      <c r="Z67" s="400">
        <f t="shared" si="31"/>
        <v>713384.1</v>
      </c>
      <c r="AA67" s="400">
        <f t="shared" si="31"/>
        <v>713384.1</v>
      </c>
    </row>
    <row r="68" spans="1:28" hidden="1" outlineLevel="1" x14ac:dyDescent="0.2">
      <c r="A68" s="408"/>
      <c r="B68" s="371"/>
      <c r="C68" s="33"/>
      <c r="D68" s="377" t="s">
        <v>202</v>
      </c>
      <c r="E68" s="391"/>
      <c r="F68" s="379">
        <f>SUM(Masterplan!C71:F71)*7*12</f>
        <v>483924</v>
      </c>
      <c r="G68" s="379"/>
      <c r="H68" s="379"/>
      <c r="I68" s="379"/>
      <c r="J68" s="379"/>
      <c r="K68" s="379"/>
      <c r="L68" s="400">
        <f>$F68*(1+L$65)/2</f>
        <v>193569.6</v>
      </c>
      <c r="M68" s="400">
        <f t="shared" si="31"/>
        <v>205667.69999999998</v>
      </c>
      <c r="N68" s="400">
        <f t="shared" si="31"/>
        <v>217765.80000000002</v>
      </c>
      <c r="O68" s="400">
        <f t="shared" si="31"/>
        <v>229863.9</v>
      </c>
      <c r="P68" s="400">
        <f t="shared" si="31"/>
        <v>241962</v>
      </c>
      <c r="Q68" s="400">
        <f t="shared" si="31"/>
        <v>241962</v>
      </c>
      <c r="R68" s="400">
        <f t="shared" si="31"/>
        <v>254060.1</v>
      </c>
      <c r="S68" s="400">
        <f t="shared" si="31"/>
        <v>254060.1</v>
      </c>
      <c r="T68" s="400">
        <f t="shared" si="31"/>
        <v>260109.15</v>
      </c>
      <c r="U68" s="400">
        <f t="shared" si="31"/>
        <v>260109.15</v>
      </c>
      <c r="V68" s="400">
        <f t="shared" si="31"/>
        <v>266158.2</v>
      </c>
      <c r="W68" s="400">
        <f t="shared" si="31"/>
        <v>266158.2</v>
      </c>
      <c r="X68" s="400">
        <f t="shared" si="31"/>
        <v>272207.25</v>
      </c>
      <c r="Y68" s="400">
        <f t="shared" si="31"/>
        <v>272207.25</v>
      </c>
      <c r="Z68" s="400">
        <f t="shared" si="31"/>
        <v>278256.3</v>
      </c>
      <c r="AA68" s="400">
        <f t="shared" si="31"/>
        <v>278256.3</v>
      </c>
    </row>
    <row r="69" spans="1:28" hidden="1" outlineLevel="1" x14ac:dyDescent="0.2">
      <c r="A69" s="408"/>
      <c r="B69" s="371"/>
      <c r="C69" s="33"/>
      <c r="D69" s="377" t="s">
        <v>207</v>
      </c>
      <c r="E69" s="391"/>
      <c r="F69" s="379">
        <f>-F67*5%</f>
        <v>-62033.4</v>
      </c>
      <c r="G69" s="379"/>
      <c r="H69" s="379"/>
      <c r="I69" s="379"/>
      <c r="J69" s="379"/>
      <c r="K69" s="379"/>
      <c r="L69" s="400">
        <f>$F69*(1+L$65)/2</f>
        <v>-24813.360000000001</v>
      </c>
      <c r="M69" s="400">
        <f t="shared" si="31"/>
        <v>-26364.195</v>
      </c>
      <c r="N69" s="400">
        <f t="shared" si="31"/>
        <v>-27915.030000000002</v>
      </c>
      <c r="O69" s="400">
        <f t="shared" si="31"/>
        <v>-29465.864999999998</v>
      </c>
      <c r="P69" s="400">
        <f t="shared" si="31"/>
        <v>-31016.7</v>
      </c>
      <c r="Q69" s="400">
        <f t="shared" si="31"/>
        <v>-31016.7</v>
      </c>
      <c r="R69" s="400">
        <f t="shared" si="31"/>
        <v>-32567.535000000003</v>
      </c>
      <c r="S69" s="400">
        <f t="shared" si="31"/>
        <v>-32567.535000000003</v>
      </c>
      <c r="T69" s="400">
        <f t="shared" si="31"/>
        <v>-33342.952499999999</v>
      </c>
      <c r="U69" s="400">
        <f t="shared" si="31"/>
        <v>-33342.952499999999</v>
      </c>
      <c r="V69" s="400">
        <f t="shared" si="31"/>
        <v>-34118.370000000003</v>
      </c>
      <c r="W69" s="400">
        <f t="shared" si="31"/>
        <v>-34118.370000000003</v>
      </c>
      <c r="X69" s="400">
        <f t="shared" si="31"/>
        <v>-34893.787499999999</v>
      </c>
      <c r="Y69" s="400">
        <f t="shared" si="31"/>
        <v>-34893.787499999999</v>
      </c>
      <c r="Z69" s="400">
        <f t="shared" si="31"/>
        <v>-35669.204999999994</v>
      </c>
      <c r="AA69" s="400">
        <f t="shared" si="31"/>
        <v>-35669.204999999994</v>
      </c>
    </row>
    <row r="70" spans="1:28" s="49" customFormat="1" hidden="1" outlineLevel="1" x14ac:dyDescent="0.2">
      <c r="A70" s="429"/>
      <c r="B70" s="388"/>
      <c r="C70" s="442"/>
      <c r="D70" s="386" t="s">
        <v>209</v>
      </c>
      <c r="E70" s="393"/>
      <c r="F70" s="419">
        <f>SUM(F67:F69)</f>
        <v>1662558.6</v>
      </c>
      <c r="G70" s="422"/>
      <c r="H70" s="439">
        <f t="shared" ref="H70:K70" si="32">SUM(H67:H69)</f>
        <v>0</v>
      </c>
      <c r="I70" s="439">
        <f t="shared" si="32"/>
        <v>0</v>
      </c>
      <c r="J70" s="439">
        <f t="shared" si="32"/>
        <v>0</v>
      </c>
      <c r="K70" s="439">
        <f t="shared" si="32"/>
        <v>0</v>
      </c>
      <c r="L70" s="439">
        <f>SUM(L67:L69)</f>
        <v>665023.44000000006</v>
      </c>
      <c r="M70" s="439">
        <f t="shared" ref="M70:AA70" si="33">SUM(M67:M69)</f>
        <v>706587.40500000003</v>
      </c>
      <c r="N70" s="439">
        <f t="shared" si="33"/>
        <v>748151.37</v>
      </c>
      <c r="O70" s="439">
        <f t="shared" si="33"/>
        <v>789715.33499999996</v>
      </c>
      <c r="P70" s="439">
        <f t="shared" si="33"/>
        <v>831279.3</v>
      </c>
      <c r="Q70" s="439">
        <f t="shared" si="33"/>
        <v>831279.3</v>
      </c>
      <c r="R70" s="439">
        <f t="shared" si="33"/>
        <v>872843.26500000001</v>
      </c>
      <c r="S70" s="439">
        <f t="shared" si="33"/>
        <v>872843.26500000001</v>
      </c>
      <c r="T70" s="439">
        <f t="shared" si="33"/>
        <v>893625.24749999994</v>
      </c>
      <c r="U70" s="439">
        <f t="shared" si="33"/>
        <v>893625.24749999994</v>
      </c>
      <c r="V70" s="439">
        <f t="shared" si="33"/>
        <v>914407.2300000001</v>
      </c>
      <c r="W70" s="439">
        <f t="shared" si="33"/>
        <v>914407.2300000001</v>
      </c>
      <c r="X70" s="439">
        <f t="shared" si="33"/>
        <v>935189.21250000002</v>
      </c>
      <c r="Y70" s="439">
        <f t="shared" si="33"/>
        <v>935189.21250000002</v>
      </c>
      <c r="Z70" s="439">
        <f t="shared" si="33"/>
        <v>955971.19499999995</v>
      </c>
      <c r="AA70" s="439">
        <f t="shared" si="33"/>
        <v>955971.19499999995</v>
      </c>
    </row>
    <row r="71" spans="1:28" hidden="1" outlineLevel="1" x14ac:dyDescent="0.2">
      <c r="A71" s="408"/>
      <c r="B71" s="371"/>
      <c r="C71" s="33"/>
      <c r="D71" s="377" t="s">
        <v>203</v>
      </c>
      <c r="E71" s="391"/>
      <c r="F71" s="379">
        <f>SUM(Masterplan!C71:F71)*-7*12</f>
        <v>-483924</v>
      </c>
      <c r="G71" s="379"/>
      <c r="H71" s="400">
        <f>$F71/2*0.1</f>
        <v>-24196.2</v>
      </c>
      <c r="I71" s="400">
        <f t="shared" ref="I71:K71" si="34">$F71/2*0.1</f>
        <v>-24196.2</v>
      </c>
      <c r="J71" s="400">
        <f t="shared" si="34"/>
        <v>-24196.2</v>
      </c>
      <c r="K71" s="400">
        <f t="shared" si="34"/>
        <v>-24196.2</v>
      </c>
      <c r="L71" s="400">
        <f>$F71/2</f>
        <v>-241962</v>
      </c>
      <c r="M71" s="400">
        <f t="shared" ref="M71:AA72" si="35">$F71/2</f>
        <v>-241962</v>
      </c>
      <c r="N71" s="400">
        <f t="shared" si="35"/>
        <v>-241962</v>
      </c>
      <c r="O71" s="400">
        <f t="shared" si="35"/>
        <v>-241962</v>
      </c>
      <c r="P71" s="400">
        <f t="shared" si="35"/>
        <v>-241962</v>
      </c>
      <c r="Q71" s="400">
        <f t="shared" si="35"/>
        <v>-241962</v>
      </c>
      <c r="R71" s="400">
        <f t="shared" si="35"/>
        <v>-241962</v>
      </c>
      <c r="S71" s="400">
        <f t="shared" si="35"/>
        <v>-241962</v>
      </c>
      <c r="T71" s="400">
        <f t="shared" si="35"/>
        <v>-241962</v>
      </c>
      <c r="U71" s="400">
        <f t="shared" si="35"/>
        <v>-241962</v>
      </c>
      <c r="V71" s="400">
        <f t="shared" si="35"/>
        <v>-241962</v>
      </c>
      <c r="W71" s="400">
        <f t="shared" si="35"/>
        <v>-241962</v>
      </c>
      <c r="X71" s="400">
        <f t="shared" si="35"/>
        <v>-241962</v>
      </c>
      <c r="Y71" s="400">
        <f t="shared" si="35"/>
        <v>-241962</v>
      </c>
      <c r="Z71" s="400">
        <f t="shared" si="35"/>
        <v>-241962</v>
      </c>
      <c r="AA71" s="400">
        <f t="shared" si="35"/>
        <v>-241962</v>
      </c>
    </row>
    <row r="72" spans="1:28" hidden="1" outlineLevel="1" x14ac:dyDescent="0.2">
      <c r="A72" s="408"/>
      <c r="B72" s="371"/>
      <c r="C72" s="33"/>
      <c r="D72" s="377" t="s">
        <v>204</v>
      </c>
      <c r="E72" s="391"/>
      <c r="F72" s="379">
        <f>-SUM(Masterplan!C71:F71)*1.5*12</f>
        <v>-103698</v>
      </c>
      <c r="G72" s="379"/>
      <c r="H72" s="400">
        <f t="shared" ref="H72:K72" si="36">$F72/2</f>
        <v>-51849</v>
      </c>
      <c r="I72" s="400">
        <f t="shared" si="36"/>
        <v>-51849</v>
      </c>
      <c r="J72" s="400">
        <f t="shared" si="36"/>
        <v>-51849</v>
      </c>
      <c r="K72" s="400">
        <f t="shared" si="36"/>
        <v>-51849</v>
      </c>
      <c r="L72" s="400">
        <f>$F72/2</f>
        <v>-51849</v>
      </c>
      <c r="M72" s="400">
        <f t="shared" si="35"/>
        <v>-51849</v>
      </c>
      <c r="N72" s="400">
        <f t="shared" si="35"/>
        <v>-51849</v>
      </c>
      <c r="O72" s="400">
        <f t="shared" si="35"/>
        <v>-51849</v>
      </c>
      <c r="P72" s="400">
        <f t="shared" si="35"/>
        <v>-51849</v>
      </c>
      <c r="Q72" s="400">
        <f t="shared" si="35"/>
        <v>-51849</v>
      </c>
      <c r="R72" s="400">
        <f t="shared" si="35"/>
        <v>-51849</v>
      </c>
      <c r="S72" s="400">
        <f t="shared" si="35"/>
        <v>-51849</v>
      </c>
      <c r="T72" s="400">
        <f t="shared" si="35"/>
        <v>-51849</v>
      </c>
      <c r="U72" s="400">
        <f t="shared" si="35"/>
        <v>-51849</v>
      </c>
      <c r="V72" s="400">
        <f t="shared" si="35"/>
        <v>-51849</v>
      </c>
      <c r="W72" s="400">
        <f t="shared" si="35"/>
        <v>-51849</v>
      </c>
      <c r="X72" s="400">
        <f t="shared" si="35"/>
        <v>-51849</v>
      </c>
      <c r="Y72" s="400">
        <f t="shared" si="35"/>
        <v>-51849</v>
      </c>
      <c r="Z72" s="400">
        <f t="shared" si="35"/>
        <v>-51849</v>
      </c>
      <c r="AA72" s="400">
        <f t="shared" si="35"/>
        <v>-51849</v>
      </c>
    </row>
    <row r="73" spans="1:28" hidden="1" outlineLevel="1" x14ac:dyDescent="0.2">
      <c r="A73" s="408"/>
      <c r="B73" s="371"/>
      <c r="C73" s="33"/>
      <c r="D73" s="377" t="s">
        <v>205</v>
      </c>
      <c r="E73" s="391"/>
      <c r="F73" s="379">
        <f>(F67+F68)*-0.03</f>
        <v>-51737.759999999995</v>
      </c>
      <c r="G73" s="379"/>
      <c r="H73" s="400">
        <f>$F73*(1+H$65)/2*0.25</f>
        <v>-5173.7759999999998</v>
      </c>
      <c r="I73" s="400">
        <f t="shared" ref="I73:K73" si="37">$F73*(1+I$65)/2*0.25</f>
        <v>-5173.7759999999998</v>
      </c>
      <c r="J73" s="400">
        <f t="shared" si="37"/>
        <v>-5173.7759999999998</v>
      </c>
      <c r="K73" s="400">
        <f t="shared" si="37"/>
        <v>-5173.7759999999998</v>
      </c>
      <c r="L73" s="400">
        <f>$F73*(1+L$65)/2</f>
        <v>-20695.103999999999</v>
      </c>
      <c r="M73" s="400">
        <f t="shared" ref="M73:AA73" si="38">$F73*(1+M$65)/2</f>
        <v>-21988.547999999999</v>
      </c>
      <c r="N73" s="400">
        <f t="shared" si="38"/>
        <v>-23281.991999999998</v>
      </c>
      <c r="O73" s="400">
        <f t="shared" si="38"/>
        <v>-24575.435999999998</v>
      </c>
      <c r="P73" s="400">
        <f t="shared" si="38"/>
        <v>-25868.879999999997</v>
      </c>
      <c r="Q73" s="400">
        <f t="shared" si="38"/>
        <v>-25868.879999999997</v>
      </c>
      <c r="R73" s="400">
        <f t="shared" si="38"/>
        <v>-27162.323999999997</v>
      </c>
      <c r="S73" s="400">
        <f t="shared" si="38"/>
        <v>-27162.323999999997</v>
      </c>
      <c r="T73" s="400">
        <f t="shared" si="38"/>
        <v>-27809.045999999995</v>
      </c>
      <c r="U73" s="400">
        <f t="shared" si="38"/>
        <v>-27809.045999999995</v>
      </c>
      <c r="V73" s="400">
        <f t="shared" si="38"/>
        <v>-28455.768</v>
      </c>
      <c r="W73" s="400">
        <f t="shared" si="38"/>
        <v>-28455.768</v>
      </c>
      <c r="X73" s="400">
        <f t="shared" si="38"/>
        <v>-29102.489999999998</v>
      </c>
      <c r="Y73" s="400">
        <f t="shared" si="38"/>
        <v>-29102.489999999998</v>
      </c>
      <c r="Z73" s="400">
        <f t="shared" si="38"/>
        <v>-29749.211999999996</v>
      </c>
      <c r="AA73" s="400">
        <f t="shared" si="38"/>
        <v>-29749.211999999996</v>
      </c>
    </row>
    <row r="74" spans="1:28" hidden="1" outlineLevel="1" x14ac:dyDescent="0.2">
      <c r="A74" s="408"/>
      <c r="B74" s="371"/>
      <c r="C74" s="33"/>
      <c r="D74" s="377"/>
      <c r="E74" s="391"/>
      <c r="F74" s="379"/>
      <c r="G74" s="379"/>
      <c r="H74" s="400"/>
      <c r="I74" s="400"/>
      <c r="J74" s="400"/>
      <c r="K74" s="400"/>
      <c r="L74" s="400"/>
      <c r="M74" s="400"/>
      <c r="N74" s="400"/>
      <c r="O74" s="400"/>
      <c r="P74" s="400"/>
      <c r="Q74" s="400"/>
      <c r="R74" s="400"/>
      <c r="S74" s="400"/>
      <c r="T74" s="400"/>
      <c r="U74" s="400"/>
      <c r="V74" s="400"/>
      <c r="W74" s="400"/>
      <c r="X74" s="400"/>
      <c r="Y74" s="400"/>
      <c r="Z74" s="400"/>
      <c r="AA74" s="400"/>
    </row>
    <row r="75" spans="1:28" s="327" customFormat="1" collapsed="1" x14ac:dyDescent="0.2">
      <c r="A75" s="429"/>
      <c r="B75" s="388"/>
      <c r="C75" s="442"/>
      <c r="D75" s="395" t="s">
        <v>208</v>
      </c>
      <c r="E75" s="396"/>
      <c r="F75" s="397">
        <f>SUM(G75:AA75)</f>
        <v>8263420.0260000005</v>
      </c>
      <c r="H75" s="328">
        <f>SUM(H70:H73)</f>
        <v>-81218.975999999995</v>
      </c>
      <c r="I75" s="328">
        <f t="shared" ref="I75:AA75" si="39">SUM(I70:I73)</f>
        <v>-81218.975999999995</v>
      </c>
      <c r="J75" s="328">
        <f t="shared" si="39"/>
        <v>-81218.975999999995</v>
      </c>
      <c r="K75" s="328">
        <f t="shared" si="39"/>
        <v>-81218.975999999995</v>
      </c>
      <c r="L75" s="328">
        <f t="shared" si="39"/>
        <v>350517.33600000007</v>
      </c>
      <c r="M75" s="328">
        <f t="shared" si="39"/>
        <v>390787.85700000002</v>
      </c>
      <c r="N75" s="328">
        <f t="shared" si="39"/>
        <v>431058.37800000003</v>
      </c>
      <c r="O75" s="328">
        <f t="shared" si="39"/>
        <v>471328.89899999998</v>
      </c>
      <c r="P75" s="328">
        <f t="shared" si="39"/>
        <v>511599.42000000004</v>
      </c>
      <c r="Q75" s="328">
        <f t="shared" si="39"/>
        <v>511599.42000000004</v>
      </c>
      <c r="R75" s="328">
        <f t="shared" si="39"/>
        <v>551869.94099999999</v>
      </c>
      <c r="S75" s="328">
        <f t="shared" si="39"/>
        <v>551869.94099999999</v>
      </c>
      <c r="T75" s="328">
        <f t="shared" si="39"/>
        <v>572005.20149999997</v>
      </c>
      <c r="U75" s="328">
        <f t="shared" si="39"/>
        <v>572005.20149999997</v>
      </c>
      <c r="V75" s="328">
        <f t="shared" si="39"/>
        <v>592140.46200000006</v>
      </c>
      <c r="W75" s="328">
        <f t="shared" si="39"/>
        <v>592140.46200000006</v>
      </c>
      <c r="X75" s="328">
        <f t="shared" si="39"/>
        <v>612275.72250000003</v>
      </c>
      <c r="Y75" s="328">
        <f t="shared" si="39"/>
        <v>612275.72250000003</v>
      </c>
      <c r="Z75" s="328">
        <f t="shared" si="39"/>
        <v>632410.98300000001</v>
      </c>
      <c r="AA75" s="328">
        <f t="shared" si="39"/>
        <v>632410.98300000001</v>
      </c>
    </row>
    <row r="76" spans="1:28" ht="21" customHeight="1" x14ac:dyDescent="0.2">
      <c r="A76" s="408"/>
      <c r="B76" s="371"/>
      <c r="C76" s="33"/>
      <c r="D76" s="377"/>
      <c r="E76" s="391"/>
      <c r="F76" s="379"/>
      <c r="G76" s="379"/>
      <c r="H76" s="379"/>
      <c r="I76" s="379"/>
      <c r="J76" s="379"/>
      <c r="K76" s="379"/>
      <c r="L76" s="348"/>
      <c r="M76" s="348"/>
      <c r="N76" s="348"/>
      <c r="O76" s="348"/>
      <c r="P76" s="348"/>
      <c r="Q76" s="348"/>
      <c r="R76" s="348"/>
      <c r="S76" s="348"/>
      <c r="T76" s="348"/>
      <c r="U76" s="348"/>
      <c r="V76" s="348"/>
      <c r="W76" s="348"/>
      <c r="X76" s="348"/>
      <c r="Y76" s="348"/>
      <c r="Z76" s="348"/>
      <c r="AA76" s="348"/>
    </row>
    <row r="77" spans="1:28" s="33" customFormat="1" x14ac:dyDescent="0.2">
      <c r="A77" s="408"/>
      <c r="B77" s="371"/>
      <c r="D77" s="326" t="s">
        <v>333</v>
      </c>
      <c r="E77" s="326">
        <f>+(Masterplan!C77+Masterplan!C78+Masterplan!D77+Masterplan!D78+Masterplan!E77+Masterplan!E78+Masterplan!F77+Masterplan!F78)/2</f>
        <v>526989.50520000001</v>
      </c>
      <c r="F77" s="326">
        <f>SUM(G77:AA77)</f>
        <v>5759122.5260000005</v>
      </c>
      <c r="G77" s="326"/>
      <c r="H77" s="447">
        <f>H62+H75</f>
        <v>-832508.22600000002</v>
      </c>
      <c r="I77" s="447">
        <f t="shared" ref="I77:AA77" si="40">I62+I75</f>
        <v>-832508.22600000002</v>
      </c>
      <c r="J77" s="447">
        <f t="shared" si="40"/>
        <v>-832508.22600000002</v>
      </c>
      <c r="K77" s="447">
        <f t="shared" si="40"/>
        <v>-331648.72600000002</v>
      </c>
      <c r="L77" s="447">
        <f t="shared" si="40"/>
        <v>350517.33600000007</v>
      </c>
      <c r="M77" s="447">
        <f t="shared" si="40"/>
        <v>390787.85700000002</v>
      </c>
      <c r="N77" s="447">
        <f t="shared" si="40"/>
        <v>431058.37800000003</v>
      </c>
      <c r="O77" s="447">
        <f t="shared" si="40"/>
        <v>471328.89899999998</v>
      </c>
      <c r="P77" s="447">
        <f t="shared" si="40"/>
        <v>511599.42000000004</v>
      </c>
      <c r="Q77" s="447">
        <f t="shared" si="40"/>
        <v>511599.42000000004</v>
      </c>
      <c r="R77" s="447">
        <f t="shared" si="40"/>
        <v>551869.94099999999</v>
      </c>
      <c r="S77" s="447">
        <f t="shared" si="40"/>
        <v>551869.94099999999</v>
      </c>
      <c r="T77" s="447">
        <f t="shared" si="40"/>
        <v>572005.20149999997</v>
      </c>
      <c r="U77" s="447">
        <f t="shared" si="40"/>
        <v>572005.20149999997</v>
      </c>
      <c r="V77" s="447">
        <f t="shared" si="40"/>
        <v>592140.46200000006</v>
      </c>
      <c r="W77" s="447">
        <f t="shared" si="40"/>
        <v>592140.46200000006</v>
      </c>
      <c r="X77" s="447">
        <f t="shared" si="40"/>
        <v>612275.72250000003</v>
      </c>
      <c r="Y77" s="447">
        <f t="shared" si="40"/>
        <v>612275.72250000003</v>
      </c>
      <c r="Z77" s="447">
        <f t="shared" si="40"/>
        <v>632410.98300000001</v>
      </c>
      <c r="AA77" s="447">
        <f t="shared" si="40"/>
        <v>632410.98300000001</v>
      </c>
      <c r="AB77" s="448"/>
    </row>
    <row r="78" spans="1:28" x14ac:dyDescent="0.2">
      <c r="A78" s="408"/>
      <c r="B78" s="371"/>
      <c r="D78" s="37"/>
      <c r="E78" s="135"/>
      <c r="F78" s="37"/>
    </row>
    <row r="79" spans="1:28" s="371" customFormat="1" x14ac:dyDescent="0.2">
      <c r="A79" s="408"/>
      <c r="C79" s="486" t="s">
        <v>307</v>
      </c>
      <c r="D79" s="388" t="s">
        <v>114</v>
      </c>
      <c r="E79" s="391"/>
      <c r="F79" s="379"/>
    </row>
    <row r="80" spans="1:28" s="32" customFormat="1" x14ac:dyDescent="0.2">
      <c r="A80" s="463"/>
      <c r="B80" s="390"/>
      <c r="C80" s="471"/>
      <c r="D80" s="421" t="s">
        <v>51</v>
      </c>
      <c r="E80" s="369"/>
      <c r="F80" s="370">
        <f>SUM(G80:AA80)</f>
        <v>1</v>
      </c>
      <c r="G80" s="411"/>
      <c r="H80" s="376"/>
      <c r="I80" s="376"/>
      <c r="J80" s="376"/>
      <c r="K80" s="376">
        <v>0.2</v>
      </c>
      <c r="L80" s="376">
        <v>0</v>
      </c>
      <c r="M80" s="376">
        <v>0</v>
      </c>
      <c r="N80" s="376">
        <v>0.4</v>
      </c>
      <c r="O80" s="376">
        <v>0.4</v>
      </c>
      <c r="P80" s="376">
        <v>0</v>
      </c>
      <c r="Q80" s="376">
        <v>0</v>
      </c>
      <c r="R80" s="376">
        <v>0</v>
      </c>
      <c r="S80" s="376">
        <v>0</v>
      </c>
      <c r="T80" s="376">
        <v>0</v>
      </c>
      <c r="U80" s="376">
        <v>0</v>
      </c>
      <c r="V80" s="376">
        <v>0</v>
      </c>
      <c r="W80" s="376">
        <v>0</v>
      </c>
      <c r="X80" s="376">
        <v>0</v>
      </c>
      <c r="Y80" s="376">
        <v>0</v>
      </c>
      <c r="Z80" s="376">
        <v>0</v>
      </c>
      <c r="AA80" s="376">
        <v>0</v>
      </c>
    </row>
    <row r="81" spans="1:28" s="390" customFormat="1" x14ac:dyDescent="0.2">
      <c r="A81" s="463"/>
      <c r="C81" s="471"/>
      <c r="D81" s="372" t="s">
        <v>293</v>
      </c>
      <c r="E81" s="373">
        <f>+Masterplan!H84</f>
        <v>2903980</v>
      </c>
      <c r="F81" s="403">
        <f>SUM(G81:AA81)</f>
        <v>-2903980</v>
      </c>
      <c r="G81" s="374"/>
      <c r="H81" s="375">
        <f t="shared" ref="H81:I81" si="41">-H80*$E$81</f>
        <v>0</v>
      </c>
      <c r="I81" s="375">
        <f t="shared" si="41"/>
        <v>0</v>
      </c>
      <c r="J81" s="375">
        <f>-J80*$E$81</f>
        <v>0</v>
      </c>
      <c r="K81" s="375">
        <f t="shared" ref="K81:AA81" si="42">-K80*$E$81</f>
        <v>-580796</v>
      </c>
      <c r="L81" s="375">
        <f t="shared" si="42"/>
        <v>0</v>
      </c>
      <c r="M81" s="375">
        <f t="shared" si="42"/>
        <v>0</v>
      </c>
      <c r="N81" s="375">
        <f t="shared" si="42"/>
        <v>-1161592</v>
      </c>
      <c r="O81" s="375">
        <f t="shared" si="42"/>
        <v>-1161592</v>
      </c>
      <c r="P81" s="375">
        <f t="shared" si="42"/>
        <v>0</v>
      </c>
      <c r="Q81" s="375">
        <f t="shared" si="42"/>
        <v>0</v>
      </c>
      <c r="R81" s="375">
        <f t="shared" si="42"/>
        <v>0</v>
      </c>
      <c r="S81" s="375">
        <f t="shared" si="42"/>
        <v>0</v>
      </c>
      <c r="T81" s="375">
        <f t="shared" si="42"/>
        <v>0</v>
      </c>
      <c r="U81" s="375">
        <f t="shared" si="42"/>
        <v>0</v>
      </c>
      <c r="V81" s="375">
        <f t="shared" si="42"/>
        <v>0</v>
      </c>
      <c r="W81" s="375">
        <f t="shared" si="42"/>
        <v>0</v>
      </c>
      <c r="X81" s="375">
        <f t="shared" si="42"/>
        <v>0</v>
      </c>
      <c r="Y81" s="375">
        <f t="shared" si="42"/>
        <v>0</v>
      </c>
      <c r="Z81" s="375">
        <f t="shared" si="42"/>
        <v>0</v>
      </c>
      <c r="AA81" s="375">
        <f t="shared" si="42"/>
        <v>0</v>
      </c>
    </row>
    <row r="82" spans="1:28" s="390" customFormat="1" ht="7" customHeight="1" x14ac:dyDescent="0.2">
      <c r="A82" s="463"/>
      <c r="C82" s="471"/>
      <c r="D82" s="377"/>
      <c r="E82" s="378"/>
      <c r="F82" s="404"/>
      <c r="G82" s="379"/>
      <c r="H82" s="380"/>
      <c r="I82" s="380"/>
      <c r="J82" s="380"/>
      <c r="K82" s="380"/>
      <c r="L82" s="380"/>
      <c r="M82" s="380"/>
      <c r="N82" s="380"/>
      <c r="O82" s="380"/>
      <c r="P82" s="380"/>
      <c r="Q82" s="380"/>
      <c r="R82" s="380"/>
      <c r="S82" s="380"/>
      <c r="T82" s="380"/>
      <c r="U82" s="380"/>
      <c r="V82" s="380"/>
      <c r="W82" s="380"/>
      <c r="X82" s="380"/>
      <c r="Y82" s="380"/>
      <c r="Z82" s="380"/>
      <c r="AA82" s="380"/>
    </row>
    <row r="83" spans="1:28" s="390" customFormat="1" hidden="1" outlineLevel="1" x14ac:dyDescent="0.2">
      <c r="A83" s="463"/>
      <c r="C83" s="471"/>
      <c r="D83" s="377" t="s">
        <v>289</v>
      </c>
      <c r="E83" s="378"/>
      <c r="F83" s="404"/>
      <c r="G83" s="379"/>
      <c r="H83" s="380"/>
      <c r="I83" s="380"/>
      <c r="J83" s="380"/>
      <c r="K83" s="380"/>
      <c r="L83" s="380"/>
      <c r="M83" s="380"/>
      <c r="N83" s="380"/>
      <c r="O83" s="380"/>
      <c r="P83" s="380"/>
      <c r="Q83" s="380"/>
      <c r="R83" s="380"/>
      <c r="S83" s="380"/>
      <c r="T83" s="380"/>
      <c r="U83" s="380"/>
      <c r="V83" s="380"/>
      <c r="W83" s="380"/>
      <c r="X83" s="380"/>
      <c r="Y83" s="380"/>
      <c r="Z83" s="380"/>
      <c r="AA83" s="380"/>
    </row>
    <row r="84" spans="1:28" s="382" customFormat="1" hidden="1" outlineLevel="1" x14ac:dyDescent="0.2">
      <c r="A84" s="464"/>
      <c r="B84" s="466"/>
      <c r="C84" s="473"/>
      <c r="D84" s="383" t="s">
        <v>331</v>
      </c>
      <c r="E84" s="384"/>
      <c r="F84" s="385"/>
      <c r="G84" s="381"/>
      <c r="H84" s="381"/>
      <c r="I84" s="381"/>
      <c r="J84" s="381"/>
      <c r="K84" s="381"/>
      <c r="L84" s="381"/>
      <c r="M84" s="381"/>
      <c r="N84" s="381"/>
      <c r="O84" s="381"/>
      <c r="P84" s="381">
        <v>0</v>
      </c>
      <c r="Q84" s="381">
        <v>0</v>
      </c>
      <c r="R84" s="381">
        <v>0.05</v>
      </c>
      <c r="S84" s="381">
        <v>0.05</v>
      </c>
      <c r="T84" s="381">
        <v>7.4999999999999997E-2</v>
      </c>
      <c r="U84" s="381">
        <v>7.4999999999999997E-2</v>
      </c>
      <c r="V84" s="381">
        <v>0.1</v>
      </c>
      <c r="W84" s="381">
        <v>0.1</v>
      </c>
      <c r="X84" s="381">
        <v>0.125</v>
      </c>
      <c r="Y84" s="381">
        <v>0.125</v>
      </c>
      <c r="Z84" s="381">
        <v>0.15</v>
      </c>
      <c r="AA84" s="381">
        <v>0.15</v>
      </c>
    </row>
    <row r="85" spans="1:28" s="382" customFormat="1" ht="7" hidden="1" customHeight="1" outlineLevel="1" x14ac:dyDescent="0.2">
      <c r="A85" s="464"/>
      <c r="B85" s="466"/>
      <c r="C85" s="473"/>
      <c r="D85" s="416"/>
      <c r="E85" s="391"/>
      <c r="F85" s="417"/>
      <c r="G85" s="418"/>
      <c r="H85" s="418"/>
      <c r="I85" s="418"/>
      <c r="J85" s="418"/>
      <c r="K85" s="418"/>
      <c r="L85" s="418"/>
      <c r="M85" s="418"/>
      <c r="N85" s="418"/>
      <c r="O85" s="418"/>
      <c r="P85" s="418"/>
      <c r="Q85" s="418"/>
      <c r="R85" s="418"/>
      <c r="S85" s="418"/>
      <c r="T85" s="418"/>
      <c r="U85" s="418"/>
      <c r="V85" s="418"/>
      <c r="W85" s="418"/>
      <c r="X85" s="418"/>
      <c r="Y85" s="418"/>
      <c r="Z85" s="418"/>
      <c r="AA85" s="418"/>
    </row>
    <row r="86" spans="1:28" s="49" customFormat="1" hidden="1" outlineLevel="1" x14ac:dyDescent="0.2">
      <c r="A86" s="429"/>
      <c r="B86" s="388"/>
      <c r="C86" s="449"/>
      <c r="D86" s="386" t="s">
        <v>298</v>
      </c>
      <c r="E86" s="393"/>
      <c r="F86" s="419"/>
      <c r="G86" s="388"/>
      <c r="H86" s="412"/>
      <c r="I86" s="412"/>
      <c r="J86" s="412"/>
      <c r="K86" s="412"/>
      <c r="L86" s="412"/>
      <c r="M86" s="412"/>
      <c r="N86" s="412"/>
      <c r="O86" s="412"/>
      <c r="P86" s="412">
        <f>P91*1.2</f>
        <v>41955.252976076539</v>
      </c>
      <c r="Q86" s="412">
        <f t="shared" ref="Q86:AA86" si="43">Q91*1.2</f>
        <v>41955.252976076539</v>
      </c>
      <c r="R86" s="412">
        <f t="shared" si="43"/>
        <v>44053.015624880369</v>
      </c>
      <c r="S86" s="412">
        <f t="shared" si="43"/>
        <v>44053.015624880369</v>
      </c>
      <c r="T86" s="412">
        <f t="shared" si="43"/>
        <v>45101.896949282287</v>
      </c>
      <c r="U86" s="412">
        <f t="shared" si="43"/>
        <v>45101.896949282287</v>
      </c>
      <c r="V86" s="412">
        <f t="shared" si="43"/>
        <v>46150.778273684198</v>
      </c>
      <c r="W86" s="412">
        <f t="shared" si="43"/>
        <v>46150.778273684198</v>
      </c>
      <c r="X86" s="412">
        <f t="shared" si="43"/>
        <v>47199.659598086109</v>
      </c>
      <c r="Y86" s="412">
        <f t="shared" si="43"/>
        <v>47199.659598086109</v>
      </c>
      <c r="Z86" s="412">
        <f t="shared" si="43"/>
        <v>48248.54092248802</v>
      </c>
      <c r="AA86" s="412">
        <f t="shared" si="43"/>
        <v>48248.54092248802</v>
      </c>
    </row>
    <row r="87" spans="1:28" hidden="1" outlineLevel="1" x14ac:dyDescent="0.2">
      <c r="A87" s="408"/>
      <c r="B87" s="371"/>
      <c r="C87" s="450"/>
      <c r="D87" s="377" t="s">
        <v>294</v>
      </c>
      <c r="E87" s="391"/>
      <c r="F87" s="379"/>
      <c r="G87" s="379"/>
      <c r="H87" s="400"/>
      <c r="I87" s="400"/>
      <c r="J87" s="400"/>
      <c r="K87" s="400"/>
      <c r="L87" s="400"/>
      <c r="M87" s="400"/>
      <c r="N87" s="400"/>
      <c r="O87" s="400"/>
      <c r="P87" s="400">
        <f>(P86-P91)*-1</f>
        <v>-6992.5421626794196</v>
      </c>
      <c r="Q87" s="400">
        <f t="shared" ref="Q87:AA87" si="44">(Q86-Q91)*-1</f>
        <v>-6992.5421626794196</v>
      </c>
      <c r="R87" s="400">
        <f t="shared" si="44"/>
        <v>-7342.1692708133924</v>
      </c>
      <c r="S87" s="400">
        <f t="shared" si="44"/>
        <v>-7342.1692708133924</v>
      </c>
      <c r="T87" s="400">
        <f t="shared" si="44"/>
        <v>-7516.9828248803824</v>
      </c>
      <c r="U87" s="400">
        <f t="shared" si="44"/>
        <v>-7516.9828248803824</v>
      </c>
      <c r="V87" s="400">
        <f t="shared" si="44"/>
        <v>-7691.7963789473652</v>
      </c>
      <c r="W87" s="400">
        <f t="shared" si="44"/>
        <v>-7691.7963789473652</v>
      </c>
      <c r="X87" s="400">
        <f t="shared" si="44"/>
        <v>-7866.6099330143479</v>
      </c>
      <c r="Y87" s="400">
        <f t="shared" si="44"/>
        <v>-7866.6099330143479</v>
      </c>
      <c r="Z87" s="400">
        <f t="shared" si="44"/>
        <v>-8041.423487081338</v>
      </c>
      <c r="AA87" s="400">
        <f t="shared" si="44"/>
        <v>-8041.423487081338</v>
      </c>
    </row>
    <row r="88" spans="1:28" hidden="1" outlineLevel="1" x14ac:dyDescent="0.2">
      <c r="A88" s="408"/>
      <c r="B88" s="371"/>
      <c r="C88" s="450"/>
      <c r="D88" s="377"/>
      <c r="E88" s="391"/>
      <c r="F88" s="379"/>
      <c r="G88" s="379"/>
      <c r="H88" s="400"/>
      <c r="I88" s="400"/>
      <c r="J88" s="400"/>
      <c r="K88" s="400"/>
      <c r="L88" s="400"/>
      <c r="M88" s="400"/>
      <c r="N88" s="400"/>
      <c r="O88" s="400"/>
      <c r="P88" s="400"/>
      <c r="Q88" s="400"/>
      <c r="R88" s="400"/>
      <c r="S88" s="400"/>
      <c r="T88" s="400"/>
      <c r="U88" s="400"/>
      <c r="V88" s="400"/>
      <c r="W88" s="400"/>
      <c r="X88" s="400"/>
      <c r="Y88" s="400"/>
      <c r="Z88" s="400"/>
      <c r="AA88" s="400"/>
    </row>
    <row r="89" spans="1:28" hidden="1" outlineLevel="1" x14ac:dyDescent="0.2">
      <c r="A89" s="408"/>
      <c r="B89" s="371"/>
      <c r="C89" s="450"/>
      <c r="D89" s="395" t="s">
        <v>208</v>
      </c>
      <c r="E89" s="396">
        <f>+Masterplan!H77/2</f>
        <v>34962.71081339712</v>
      </c>
      <c r="F89" s="397">
        <f>SUM(G89:AA89)</f>
        <v>454515.24057416251</v>
      </c>
      <c r="G89" s="328"/>
      <c r="H89" s="328"/>
      <c r="I89" s="328"/>
      <c r="J89" s="328"/>
      <c r="K89" s="328"/>
      <c r="L89" s="328"/>
      <c r="M89" s="328"/>
      <c r="N89" s="328"/>
      <c r="O89" s="328"/>
      <c r="P89" s="328">
        <f>+$E$89*(1+P84)</f>
        <v>34962.71081339712</v>
      </c>
      <c r="Q89" s="328">
        <f t="shared" ref="Q89:AA89" si="45">+$E$89*(1+Q84)</f>
        <v>34962.71081339712</v>
      </c>
      <c r="R89" s="328">
        <f t="shared" si="45"/>
        <v>36710.846354066976</v>
      </c>
      <c r="S89" s="328">
        <f t="shared" si="45"/>
        <v>36710.846354066976</v>
      </c>
      <c r="T89" s="328">
        <f t="shared" si="45"/>
        <v>37584.914124401905</v>
      </c>
      <c r="U89" s="328">
        <f t="shared" si="45"/>
        <v>37584.914124401905</v>
      </c>
      <c r="V89" s="328">
        <f t="shared" si="45"/>
        <v>38458.981894736833</v>
      </c>
      <c r="W89" s="328">
        <f t="shared" si="45"/>
        <v>38458.981894736833</v>
      </c>
      <c r="X89" s="328">
        <f t="shared" si="45"/>
        <v>39333.049665071761</v>
      </c>
      <c r="Y89" s="328">
        <f t="shared" si="45"/>
        <v>39333.049665071761</v>
      </c>
      <c r="Z89" s="328">
        <f t="shared" si="45"/>
        <v>40207.117435406682</v>
      </c>
      <c r="AA89" s="328">
        <f t="shared" si="45"/>
        <v>40207.117435406682</v>
      </c>
    </row>
    <row r="90" spans="1:28" s="382" customFormat="1" ht="7" hidden="1" customHeight="1" outlineLevel="1" x14ac:dyDescent="0.2">
      <c r="A90" s="464"/>
      <c r="B90" s="466"/>
      <c r="C90" s="473"/>
      <c r="D90" s="416"/>
      <c r="E90" s="391"/>
      <c r="F90" s="417"/>
      <c r="G90" s="418"/>
      <c r="H90" s="418"/>
      <c r="I90" s="418"/>
      <c r="J90" s="418"/>
      <c r="K90" s="418"/>
      <c r="L90" s="418"/>
      <c r="M90" s="418"/>
      <c r="N90" s="418"/>
      <c r="O90" s="418"/>
      <c r="P90" s="418"/>
      <c r="Q90" s="418"/>
      <c r="R90" s="418"/>
      <c r="S90" s="418"/>
      <c r="T90" s="418"/>
      <c r="U90" s="418"/>
      <c r="V90" s="418"/>
      <c r="W90" s="418"/>
      <c r="X90" s="418"/>
      <c r="Y90" s="418"/>
      <c r="Z90" s="418"/>
      <c r="AA90" s="418"/>
    </row>
    <row r="91" spans="1:28" s="450" customFormat="1" collapsed="1" x14ac:dyDescent="0.2">
      <c r="A91" s="408"/>
      <c r="B91" s="371"/>
      <c r="D91" s="451" t="s">
        <v>334</v>
      </c>
      <c r="E91" s="451">
        <f>+Masterplan!H77/2</f>
        <v>34962.71081339712</v>
      </c>
      <c r="F91" s="451">
        <f>SUM(G91:AA91)</f>
        <v>-2449464.7594258385</v>
      </c>
      <c r="G91" s="451"/>
      <c r="H91" s="452">
        <f>H81+H89</f>
        <v>0</v>
      </c>
      <c r="I91" s="452">
        <f t="shared" ref="I91:AA91" si="46">I81+I89</f>
        <v>0</v>
      </c>
      <c r="J91" s="452">
        <f t="shared" si="46"/>
        <v>0</v>
      </c>
      <c r="K91" s="452">
        <f t="shared" si="46"/>
        <v>-580796</v>
      </c>
      <c r="L91" s="452">
        <f t="shared" si="46"/>
        <v>0</v>
      </c>
      <c r="M91" s="452">
        <f t="shared" si="46"/>
        <v>0</v>
      </c>
      <c r="N91" s="452">
        <f t="shared" si="46"/>
        <v>-1161592</v>
      </c>
      <c r="O91" s="452">
        <f t="shared" si="46"/>
        <v>-1161592</v>
      </c>
      <c r="P91" s="452">
        <f t="shared" si="46"/>
        <v>34962.71081339712</v>
      </c>
      <c r="Q91" s="452">
        <f t="shared" si="46"/>
        <v>34962.71081339712</v>
      </c>
      <c r="R91" s="452">
        <f t="shared" si="46"/>
        <v>36710.846354066976</v>
      </c>
      <c r="S91" s="452">
        <f t="shared" si="46"/>
        <v>36710.846354066976</v>
      </c>
      <c r="T91" s="452">
        <f t="shared" si="46"/>
        <v>37584.914124401905</v>
      </c>
      <c r="U91" s="452">
        <f t="shared" si="46"/>
        <v>37584.914124401905</v>
      </c>
      <c r="V91" s="452">
        <f t="shared" si="46"/>
        <v>38458.981894736833</v>
      </c>
      <c r="W91" s="452">
        <f t="shared" si="46"/>
        <v>38458.981894736833</v>
      </c>
      <c r="X91" s="452">
        <f t="shared" si="46"/>
        <v>39333.049665071761</v>
      </c>
      <c r="Y91" s="452">
        <f t="shared" si="46"/>
        <v>39333.049665071761</v>
      </c>
      <c r="Z91" s="452">
        <f t="shared" si="46"/>
        <v>40207.117435406682</v>
      </c>
      <c r="AA91" s="452">
        <f t="shared" si="46"/>
        <v>40207.117435406682</v>
      </c>
      <c r="AB91" s="453"/>
    </row>
    <row r="92" spans="1:28" ht="21" customHeight="1" x14ac:dyDescent="0.2">
      <c r="A92" s="408"/>
      <c r="B92" s="371"/>
      <c r="D92" s="37"/>
      <c r="E92" s="135"/>
      <c r="F92" s="37"/>
    </row>
    <row r="93" spans="1:28" x14ac:dyDescent="0.2">
      <c r="A93" s="408"/>
      <c r="B93" s="371"/>
      <c r="D93" s="371" t="s">
        <v>130</v>
      </c>
      <c r="E93" s="402">
        <f>+E35</f>
        <v>0.08</v>
      </c>
      <c r="F93" s="379">
        <f>SUM(G93:AA93)</f>
        <v>19746572.510885168</v>
      </c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  <c r="AA93" s="283">
        <f>+(AA91+AA77+AA58)*2/E93</f>
        <v>19746572.510885168</v>
      </c>
      <c r="AB93" s="30">
        <f>+AA93/Masterplan!L71</f>
        <v>1420.3204015626357</v>
      </c>
    </row>
    <row r="94" spans="1:28" s="408" customFormat="1" x14ac:dyDescent="0.2">
      <c r="D94" s="405" t="s">
        <v>332</v>
      </c>
      <c r="E94" s="405"/>
      <c r="F94" s="405">
        <f>SUM(G94:AA94)</f>
        <v>6115219.8441741625</v>
      </c>
      <c r="G94" s="406">
        <f t="shared" ref="G94:AA94" si="47">G36+G58+G77+G91</f>
        <v>0</v>
      </c>
      <c r="H94" s="406">
        <f t="shared" si="47"/>
        <v>-920827.36199999996</v>
      </c>
      <c r="I94" s="406">
        <f t="shared" si="47"/>
        <v>-920827.36199999996</v>
      </c>
      <c r="J94" s="406">
        <f t="shared" si="47"/>
        <v>-1199759.862</v>
      </c>
      <c r="K94" s="406">
        <f t="shared" si="47"/>
        <v>-763476.03</v>
      </c>
      <c r="L94" s="406">
        <f t="shared" si="47"/>
        <v>499486.03200000012</v>
      </c>
      <c r="M94" s="406">
        <f t="shared" si="47"/>
        <v>539190.15300000005</v>
      </c>
      <c r="N94" s="406">
        <f t="shared" si="47"/>
        <v>-582131.32599999988</v>
      </c>
      <c r="O94" s="406">
        <f t="shared" si="47"/>
        <v>-542427.20499999996</v>
      </c>
      <c r="P94" s="406">
        <f t="shared" si="47"/>
        <v>694398.02681339718</v>
      </c>
      <c r="Q94" s="406">
        <f t="shared" si="47"/>
        <v>711050.73641339713</v>
      </c>
      <c r="R94" s="406">
        <f t="shared" si="47"/>
        <v>753069.39295406698</v>
      </c>
      <c r="S94" s="406">
        <f t="shared" si="47"/>
        <v>753069.39295406698</v>
      </c>
      <c r="T94" s="406">
        <f t="shared" si="47"/>
        <v>774078.72122440184</v>
      </c>
      <c r="U94" s="406">
        <f t="shared" si="47"/>
        <v>774078.72122440184</v>
      </c>
      <c r="V94" s="406">
        <f t="shared" si="47"/>
        <v>795088.04949473694</v>
      </c>
      <c r="W94" s="406">
        <f t="shared" si="47"/>
        <v>812307.15909473691</v>
      </c>
      <c r="X94" s="406">
        <f t="shared" si="47"/>
        <v>972934.08736507175</v>
      </c>
      <c r="Y94" s="406">
        <f t="shared" si="47"/>
        <v>972934.08736507175</v>
      </c>
      <c r="Z94" s="406">
        <f t="shared" si="47"/>
        <v>996492.21563540667</v>
      </c>
      <c r="AA94" s="406">
        <f t="shared" si="47"/>
        <v>996492.21563540667</v>
      </c>
      <c r="AB94" s="407"/>
    </row>
    <row r="95" spans="1:28" s="431" customFormat="1" x14ac:dyDescent="0.2">
      <c r="D95" s="430" t="s">
        <v>299</v>
      </c>
      <c r="E95" s="262" t="s">
        <v>297</v>
      </c>
      <c r="F95" s="433">
        <f>MIN(G95:AA95)</f>
        <v>-3890772.9620000003</v>
      </c>
      <c r="G95" s="431">
        <f>G94</f>
        <v>0</v>
      </c>
      <c r="H95" s="432">
        <f>G95+H94</f>
        <v>-920827.36199999996</v>
      </c>
      <c r="I95" s="432">
        <f t="shared" ref="I95:AA95" si="48">H95+I94</f>
        <v>-1841654.7239999999</v>
      </c>
      <c r="J95" s="432">
        <f t="shared" si="48"/>
        <v>-3041414.5860000001</v>
      </c>
      <c r="K95" s="432">
        <f t="shared" si="48"/>
        <v>-3804890.6160000004</v>
      </c>
      <c r="L95" s="432">
        <f t="shared" si="48"/>
        <v>-3305404.5840000003</v>
      </c>
      <c r="M95" s="432">
        <f t="shared" si="48"/>
        <v>-2766214.4310000003</v>
      </c>
      <c r="N95" s="432">
        <f t="shared" si="48"/>
        <v>-3348345.7570000002</v>
      </c>
      <c r="O95" s="432">
        <f t="shared" si="48"/>
        <v>-3890772.9620000003</v>
      </c>
      <c r="P95" s="432">
        <f t="shared" si="48"/>
        <v>-3196374.9351866031</v>
      </c>
      <c r="Q95" s="432">
        <f t="shared" si="48"/>
        <v>-2485324.1987732062</v>
      </c>
      <c r="R95" s="432">
        <f t="shared" si="48"/>
        <v>-1732254.8058191394</v>
      </c>
      <c r="S95" s="432">
        <f t="shared" si="48"/>
        <v>-979185.41286507237</v>
      </c>
      <c r="T95" s="432">
        <f t="shared" si="48"/>
        <v>-205106.69164067053</v>
      </c>
      <c r="U95" s="432">
        <f t="shared" si="48"/>
        <v>568972.02958373132</v>
      </c>
      <c r="V95" s="432">
        <f t="shared" si="48"/>
        <v>1364060.0790784683</v>
      </c>
      <c r="W95" s="432">
        <f t="shared" si="48"/>
        <v>2176367.2381732054</v>
      </c>
      <c r="X95" s="432">
        <f t="shared" si="48"/>
        <v>3149301.3255382772</v>
      </c>
      <c r="Y95" s="432">
        <f t="shared" si="48"/>
        <v>4122235.4129033489</v>
      </c>
      <c r="Z95" s="432">
        <f t="shared" si="48"/>
        <v>5118727.6285387557</v>
      </c>
      <c r="AA95" s="432">
        <f t="shared" si="48"/>
        <v>6115219.8441741625</v>
      </c>
    </row>
    <row r="96" spans="1:28" s="431" customFormat="1" ht="7" customHeight="1" x14ac:dyDescent="0.2">
      <c r="D96" s="430"/>
      <c r="E96" s="262"/>
      <c r="F96" s="433"/>
      <c r="H96" s="432"/>
      <c r="I96" s="432"/>
      <c r="J96" s="432"/>
      <c r="K96" s="432"/>
      <c r="L96" s="432"/>
      <c r="M96" s="432"/>
      <c r="N96" s="432"/>
      <c r="O96" s="432"/>
      <c r="P96" s="432"/>
      <c r="Q96" s="432"/>
      <c r="R96" s="432"/>
      <c r="S96" s="432"/>
      <c r="T96" s="432"/>
      <c r="U96" s="432"/>
      <c r="V96" s="432"/>
      <c r="W96" s="432"/>
      <c r="X96" s="432"/>
      <c r="Y96" s="432"/>
      <c r="Z96" s="432"/>
      <c r="AA96" s="432"/>
    </row>
    <row r="97" spans="1:28" s="431" customFormat="1" x14ac:dyDescent="0.2">
      <c r="D97" s="430" t="s">
        <v>350</v>
      </c>
      <c r="E97" s="262"/>
      <c r="F97" s="433">
        <f>SUM(G97:AA97)</f>
        <v>-6121450</v>
      </c>
      <c r="G97" s="432">
        <f>G81+G62+G43+G19</f>
        <v>0</v>
      </c>
      <c r="H97" s="432">
        <f t="shared" ref="H97:AA97" si="49">H81+H62+H43+H19</f>
        <v>-751289.25</v>
      </c>
      <c r="I97" s="432">
        <f t="shared" si="49"/>
        <v>-968409.25</v>
      </c>
      <c r="J97" s="432">
        <f t="shared" si="49"/>
        <v>-1247341.75</v>
      </c>
      <c r="K97" s="432">
        <f t="shared" si="49"/>
        <v>-831225.75</v>
      </c>
      <c r="L97" s="432">
        <f t="shared" si="49"/>
        <v>0</v>
      </c>
      <c r="M97" s="432">
        <f t="shared" si="49"/>
        <v>0</v>
      </c>
      <c r="N97" s="432">
        <f t="shared" si="49"/>
        <v>-1161592</v>
      </c>
      <c r="O97" s="432">
        <f t="shared" si="49"/>
        <v>-1161592</v>
      </c>
      <c r="P97" s="432">
        <f t="shared" si="49"/>
        <v>0</v>
      </c>
      <c r="Q97" s="432">
        <f t="shared" si="49"/>
        <v>0</v>
      </c>
      <c r="R97" s="432">
        <f t="shared" si="49"/>
        <v>0</v>
      </c>
      <c r="S97" s="432">
        <f t="shared" si="49"/>
        <v>0</v>
      </c>
      <c r="T97" s="432">
        <f t="shared" si="49"/>
        <v>0</v>
      </c>
      <c r="U97" s="432">
        <f t="shared" si="49"/>
        <v>0</v>
      </c>
      <c r="V97" s="432">
        <f t="shared" si="49"/>
        <v>0</v>
      </c>
      <c r="W97" s="432">
        <f t="shared" si="49"/>
        <v>0</v>
      </c>
      <c r="X97" s="432">
        <f t="shared" si="49"/>
        <v>0</v>
      </c>
      <c r="Y97" s="432">
        <f t="shared" si="49"/>
        <v>0</v>
      </c>
      <c r="Z97" s="432">
        <f t="shared" si="49"/>
        <v>0</v>
      </c>
      <c r="AA97" s="432">
        <f t="shared" si="49"/>
        <v>0</v>
      </c>
    </row>
    <row r="98" spans="1:28" s="431" customFormat="1" x14ac:dyDescent="0.2">
      <c r="D98" s="430" t="s">
        <v>351</v>
      </c>
      <c r="E98" s="262"/>
      <c r="F98" s="433"/>
      <c r="G98" s="432">
        <f>G97</f>
        <v>0</v>
      </c>
      <c r="H98" s="432">
        <f>G98+H97</f>
        <v>-751289.25</v>
      </c>
      <c r="I98" s="432">
        <f t="shared" ref="I98:AA98" si="50">H98+I97</f>
        <v>-1719698.5</v>
      </c>
      <c r="J98" s="432">
        <f t="shared" si="50"/>
        <v>-2967040.25</v>
      </c>
      <c r="K98" s="432">
        <f t="shared" si="50"/>
        <v>-3798266</v>
      </c>
      <c r="L98" s="432">
        <f t="shared" si="50"/>
        <v>-3798266</v>
      </c>
      <c r="M98" s="432">
        <f t="shared" si="50"/>
        <v>-3798266</v>
      </c>
      <c r="N98" s="432">
        <f t="shared" si="50"/>
        <v>-4959858</v>
      </c>
      <c r="O98" s="432">
        <f t="shared" si="50"/>
        <v>-6121450</v>
      </c>
      <c r="P98" s="432">
        <f t="shared" si="50"/>
        <v>-6121450</v>
      </c>
      <c r="Q98" s="432">
        <f t="shared" si="50"/>
        <v>-6121450</v>
      </c>
      <c r="R98" s="432">
        <f t="shared" si="50"/>
        <v>-6121450</v>
      </c>
      <c r="S98" s="432">
        <f t="shared" si="50"/>
        <v>-6121450</v>
      </c>
      <c r="T98" s="432">
        <f t="shared" si="50"/>
        <v>-6121450</v>
      </c>
      <c r="U98" s="432">
        <f t="shared" si="50"/>
        <v>-6121450</v>
      </c>
      <c r="V98" s="432">
        <f t="shared" si="50"/>
        <v>-6121450</v>
      </c>
      <c r="W98" s="432">
        <f t="shared" si="50"/>
        <v>-6121450</v>
      </c>
      <c r="X98" s="432">
        <f t="shared" si="50"/>
        <v>-6121450</v>
      </c>
      <c r="Y98" s="432">
        <f t="shared" si="50"/>
        <v>-6121450</v>
      </c>
      <c r="Z98" s="432">
        <f t="shared" si="50"/>
        <v>-6121450</v>
      </c>
      <c r="AA98" s="432">
        <f t="shared" si="50"/>
        <v>-6121450</v>
      </c>
    </row>
    <row r="99" spans="1:28" s="431" customFormat="1" ht="7" customHeight="1" x14ac:dyDescent="0.2">
      <c r="D99" s="430"/>
      <c r="E99" s="262"/>
      <c r="F99" s="433"/>
      <c r="H99" s="432"/>
      <c r="I99" s="432"/>
      <c r="J99" s="432"/>
      <c r="K99" s="432"/>
      <c r="L99" s="432"/>
      <c r="M99" s="432"/>
      <c r="N99" s="432"/>
      <c r="O99" s="432"/>
      <c r="P99" s="432"/>
      <c r="Q99" s="432"/>
      <c r="R99" s="432"/>
      <c r="S99" s="432"/>
      <c r="T99" s="432"/>
      <c r="U99" s="432"/>
      <c r="V99" s="432"/>
      <c r="W99" s="432"/>
      <c r="X99" s="432"/>
      <c r="Y99" s="432"/>
      <c r="Z99" s="432"/>
      <c r="AA99" s="432"/>
    </row>
    <row r="100" spans="1:28" s="428" customFormat="1" x14ac:dyDescent="0.2">
      <c r="A100" s="472"/>
      <c r="D100" s="425" t="s">
        <v>300</v>
      </c>
      <c r="E100" s="436">
        <v>0.03</v>
      </c>
      <c r="F100" s="425">
        <f>SUM(G100:AA100)</f>
        <v>-1520573.01</v>
      </c>
      <c r="G100" s="425"/>
      <c r="H100" s="426">
        <f>H98*$E$100/2</f>
        <v>-11269.338749999999</v>
      </c>
      <c r="I100" s="426">
        <f t="shared" ref="I100:AA100" si="51">I98*$E$100/2</f>
        <v>-25795.477499999997</v>
      </c>
      <c r="J100" s="426">
        <f t="shared" si="51"/>
        <v>-44505.603749999995</v>
      </c>
      <c r="K100" s="426">
        <f t="shared" si="51"/>
        <v>-56973.99</v>
      </c>
      <c r="L100" s="426">
        <f t="shared" si="51"/>
        <v>-56973.99</v>
      </c>
      <c r="M100" s="426">
        <f t="shared" si="51"/>
        <v>-56973.99</v>
      </c>
      <c r="N100" s="426">
        <f t="shared" si="51"/>
        <v>-74397.87</v>
      </c>
      <c r="O100" s="426">
        <f t="shared" si="51"/>
        <v>-91821.75</v>
      </c>
      <c r="P100" s="426">
        <f t="shared" si="51"/>
        <v>-91821.75</v>
      </c>
      <c r="Q100" s="426">
        <f t="shared" si="51"/>
        <v>-91821.75</v>
      </c>
      <c r="R100" s="426">
        <f t="shared" si="51"/>
        <v>-91821.75</v>
      </c>
      <c r="S100" s="426">
        <f t="shared" si="51"/>
        <v>-91821.75</v>
      </c>
      <c r="T100" s="426">
        <f t="shared" si="51"/>
        <v>-91821.75</v>
      </c>
      <c r="U100" s="426">
        <f t="shared" si="51"/>
        <v>-91821.75</v>
      </c>
      <c r="V100" s="426">
        <f t="shared" si="51"/>
        <v>-91821.75</v>
      </c>
      <c r="W100" s="426">
        <f t="shared" si="51"/>
        <v>-91821.75</v>
      </c>
      <c r="X100" s="426">
        <f t="shared" si="51"/>
        <v>-91821.75</v>
      </c>
      <c r="Y100" s="426">
        <f t="shared" si="51"/>
        <v>-91821.75</v>
      </c>
      <c r="Z100" s="426">
        <f t="shared" si="51"/>
        <v>-91821.75</v>
      </c>
      <c r="AA100" s="426">
        <f t="shared" si="51"/>
        <v>-91821.75</v>
      </c>
      <c r="AB100" s="427"/>
    </row>
    <row r="101" spans="1:28" ht="7" customHeight="1" x14ac:dyDescent="0.2"/>
    <row r="102" spans="1:28" s="365" customFormat="1" collapsed="1" x14ac:dyDescent="0.2">
      <c r="A102" s="480"/>
      <c r="B102" s="367"/>
      <c r="D102" s="364" t="s">
        <v>249</v>
      </c>
    </row>
    <row r="103" spans="1:28" ht="7" customHeight="1" x14ac:dyDescent="0.2">
      <c r="A103" s="408"/>
    </row>
    <row r="104" spans="1:28" s="62" customFormat="1" x14ac:dyDescent="0.2">
      <c r="A104" s="481"/>
      <c r="C104" s="487" t="s">
        <v>305</v>
      </c>
      <c r="D104" s="49" t="s">
        <v>295</v>
      </c>
    </row>
    <row r="105" spans="1:28" s="32" customFormat="1" x14ac:dyDescent="0.2">
      <c r="A105" s="463"/>
      <c r="C105" s="476"/>
      <c r="D105" s="421" t="s">
        <v>51</v>
      </c>
      <c r="E105" s="369"/>
      <c r="F105" s="370">
        <f>SUM(G105:AA105)</f>
        <v>1</v>
      </c>
      <c r="G105" s="411"/>
      <c r="H105" s="376"/>
      <c r="I105" s="376"/>
      <c r="J105" s="376">
        <v>1</v>
      </c>
      <c r="K105" s="376">
        <v>0</v>
      </c>
      <c r="L105" s="376">
        <v>0</v>
      </c>
      <c r="M105" s="376">
        <v>0</v>
      </c>
      <c r="N105" s="376">
        <v>0</v>
      </c>
      <c r="O105" s="376">
        <v>0</v>
      </c>
      <c r="P105" s="376">
        <v>0</v>
      </c>
      <c r="Q105" s="376">
        <v>0</v>
      </c>
      <c r="R105" s="376">
        <v>0</v>
      </c>
      <c r="S105" s="376">
        <v>0</v>
      </c>
      <c r="T105" s="376">
        <v>0</v>
      </c>
      <c r="U105" s="376">
        <v>0</v>
      </c>
      <c r="V105" s="376">
        <v>0</v>
      </c>
      <c r="W105" s="376">
        <v>0</v>
      </c>
      <c r="X105" s="376">
        <v>0</v>
      </c>
      <c r="Y105" s="376">
        <v>0</v>
      </c>
      <c r="Z105" s="376">
        <v>0</v>
      </c>
      <c r="AA105" s="376">
        <v>0</v>
      </c>
    </row>
    <row r="106" spans="1:28" s="390" customFormat="1" x14ac:dyDescent="0.2">
      <c r="A106" s="463"/>
      <c r="C106" s="476"/>
      <c r="D106" s="372" t="s">
        <v>288</v>
      </c>
      <c r="E106" s="373">
        <f>+Masterplan!T43</f>
        <v>138000</v>
      </c>
      <c r="F106" s="403">
        <f>SUM(G106:AA106)</f>
        <v>-138000</v>
      </c>
      <c r="G106" s="374"/>
      <c r="H106" s="375"/>
      <c r="I106" s="375"/>
      <c r="J106" s="375">
        <f>-$E$106*J105</f>
        <v>-138000</v>
      </c>
      <c r="K106" s="375">
        <f t="shared" ref="K106:AA106" si="52">-$E$106*K105</f>
        <v>0</v>
      </c>
      <c r="L106" s="375">
        <f t="shared" si="52"/>
        <v>0</v>
      </c>
      <c r="M106" s="375">
        <f t="shared" si="52"/>
        <v>0</v>
      </c>
      <c r="N106" s="375">
        <f t="shared" si="52"/>
        <v>0</v>
      </c>
      <c r="O106" s="375">
        <f t="shared" si="52"/>
        <v>0</v>
      </c>
      <c r="P106" s="375">
        <f t="shared" si="52"/>
        <v>0</v>
      </c>
      <c r="Q106" s="375">
        <f t="shared" si="52"/>
        <v>0</v>
      </c>
      <c r="R106" s="375">
        <f t="shared" si="52"/>
        <v>0</v>
      </c>
      <c r="S106" s="375">
        <f t="shared" si="52"/>
        <v>0</v>
      </c>
      <c r="T106" s="375">
        <f t="shared" si="52"/>
        <v>0</v>
      </c>
      <c r="U106" s="375">
        <f t="shared" si="52"/>
        <v>0</v>
      </c>
      <c r="V106" s="375">
        <f t="shared" si="52"/>
        <v>0</v>
      </c>
      <c r="W106" s="375">
        <f t="shared" si="52"/>
        <v>0</v>
      </c>
      <c r="X106" s="375">
        <f t="shared" si="52"/>
        <v>0</v>
      </c>
      <c r="Y106" s="375">
        <f t="shared" si="52"/>
        <v>0</v>
      </c>
      <c r="Z106" s="375">
        <f t="shared" si="52"/>
        <v>0</v>
      </c>
      <c r="AA106" s="375">
        <f t="shared" si="52"/>
        <v>0</v>
      </c>
    </row>
    <row r="107" spans="1:28" s="390" customFormat="1" ht="7" customHeight="1" x14ac:dyDescent="0.2">
      <c r="A107" s="463"/>
      <c r="C107" s="476"/>
      <c r="D107" s="377"/>
      <c r="E107" s="378"/>
      <c r="F107" s="404"/>
      <c r="G107" s="379"/>
      <c r="H107" s="380"/>
      <c r="I107" s="380"/>
      <c r="J107" s="380"/>
      <c r="K107" s="380"/>
      <c r="L107" s="380"/>
      <c r="M107" s="380"/>
      <c r="N107" s="380"/>
      <c r="O107" s="380"/>
      <c r="P107" s="380"/>
      <c r="Q107" s="380"/>
      <c r="R107" s="380"/>
      <c r="S107" s="380"/>
      <c r="T107" s="380"/>
      <c r="U107" s="380"/>
      <c r="V107" s="380"/>
      <c r="W107" s="380"/>
      <c r="X107" s="380"/>
      <c r="Y107" s="380"/>
      <c r="Z107" s="380"/>
      <c r="AA107" s="380"/>
    </row>
    <row r="108" spans="1:28" s="390" customFormat="1" hidden="1" outlineLevel="1" x14ac:dyDescent="0.2">
      <c r="A108" s="463"/>
      <c r="C108" s="476"/>
      <c r="D108" s="377" t="s">
        <v>289</v>
      </c>
      <c r="E108" s="378"/>
      <c r="F108" s="404"/>
      <c r="G108" s="379"/>
      <c r="H108" s="380"/>
      <c r="I108" s="380"/>
      <c r="J108" s="380"/>
      <c r="K108" s="380"/>
      <c r="L108" s="380"/>
      <c r="M108" s="380"/>
      <c r="N108" s="380"/>
      <c r="O108" s="380"/>
      <c r="P108" s="380"/>
      <c r="Q108" s="380"/>
      <c r="R108" s="380"/>
      <c r="S108" s="380"/>
      <c r="T108" s="380"/>
      <c r="U108" s="380"/>
      <c r="V108" s="380"/>
      <c r="W108" s="380"/>
      <c r="X108" s="380"/>
      <c r="Y108" s="380"/>
      <c r="Z108" s="380"/>
      <c r="AA108" s="380"/>
    </row>
    <row r="109" spans="1:28" s="382" customFormat="1" hidden="1" outlineLevel="1" x14ac:dyDescent="0.2">
      <c r="A109" s="464"/>
      <c r="C109" s="477"/>
      <c r="D109" s="383" t="s">
        <v>290</v>
      </c>
      <c r="E109" s="384"/>
      <c r="F109" s="385"/>
      <c r="G109" s="381"/>
      <c r="H109" s="381"/>
      <c r="I109" s="381"/>
      <c r="J109" s="381"/>
      <c r="K109" s="381"/>
      <c r="L109" s="381">
        <v>-0.5</v>
      </c>
      <c r="M109" s="381">
        <v>-0.35</v>
      </c>
      <c r="N109" s="381">
        <v>-0.25</v>
      </c>
      <c r="O109" s="381">
        <v>-0.2</v>
      </c>
      <c r="P109" s="381">
        <v>-0.15</v>
      </c>
      <c r="Q109" s="381">
        <v>-0.1</v>
      </c>
      <c r="R109" s="381">
        <v>-0.05</v>
      </c>
      <c r="S109" s="381">
        <v>0</v>
      </c>
      <c r="T109" s="381">
        <v>0</v>
      </c>
      <c r="U109" s="381">
        <v>0.05</v>
      </c>
      <c r="V109" s="381">
        <v>0.05</v>
      </c>
      <c r="W109" s="381">
        <v>0.1</v>
      </c>
      <c r="X109" s="381">
        <v>0.1</v>
      </c>
      <c r="Y109" s="381">
        <v>0.15</v>
      </c>
      <c r="Z109" s="381">
        <v>0.15</v>
      </c>
      <c r="AA109" s="381">
        <v>0.2</v>
      </c>
    </row>
    <row r="110" spans="1:28" s="382" customFormat="1" ht="7" hidden="1" customHeight="1" outlineLevel="1" x14ac:dyDescent="0.2">
      <c r="A110" s="464"/>
      <c r="C110" s="477"/>
      <c r="D110" s="416"/>
      <c r="E110" s="391"/>
      <c r="F110" s="417"/>
      <c r="G110" s="418"/>
      <c r="H110" s="418"/>
      <c r="I110" s="418"/>
      <c r="J110" s="418"/>
      <c r="K110" s="418"/>
      <c r="L110" s="418"/>
      <c r="M110" s="418"/>
      <c r="N110" s="418"/>
      <c r="O110" s="418"/>
      <c r="P110" s="418"/>
      <c r="Q110" s="418"/>
      <c r="R110" s="418"/>
      <c r="S110" s="418"/>
      <c r="T110" s="418"/>
      <c r="U110" s="418"/>
      <c r="V110" s="418"/>
      <c r="W110" s="418"/>
      <c r="X110" s="418"/>
      <c r="Y110" s="418"/>
      <c r="Z110" s="418"/>
      <c r="AA110" s="418"/>
    </row>
    <row r="111" spans="1:28" s="382" customFormat="1" hidden="1" outlineLevel="1" x14ac:dyDescent="0.2">
      <c r="A111" s="464"/>
      <c r="C111" s="477"/>
      <c r="D111" s="386" t="s">
        <v>298</v>
      </c>
      <c r="E111" s="391"/>
      <c r="F111" s="417"/>
      <c r="G111" s="412"/>
      <c r="H111" s="412"/>
      <c r="I111" s="412"/>
      <c r="J111" s="412"/>
      <c r="K111" s="412"/>
      <c r="L111" s="412">
        <f>L114*1.2</f>
        <v>8998.8756850804693</v>
      </c>
      <c r="M111" s="412">
        <f t="shared" ref="M111:AA111" si="53">M114*1.2</f>
        <v>11698.53839060461</v>
      </c>
      <c r="N111" s="412">
        <f t="shared" si="53"/>
        <v>13498.313527620705</v>
      </c>
      <c r="O111" s="412">
        <f t="shared" si="53"/>
        <v>14398.201096128751</v>
      </c>
      <c r="P111" s="412">
        <f t="shared" si="53"/>
        <v>15298.088664636796</v>
      </c>
      <c r="Q111" s="412">
        <f t="shared" si="53"/>
        <v>16197.976233144844</v>
      </c>
      <c r="R111" s="412">
        <f t="shared" si="53"/>
        <v>17097.863801652889</v>
      </c>
      <c r="S111" s="412">
        <f t="shared" si="53"/>
        <v>17997.751370160939</v>
      </c>
      <c r="T111" s="412">
        <f t="shared" si="53"/>
        <v>17997.751370160939</v>
      </c>
      <c r="U111" s="412">
        <f t="shared" si="53"/>
        <v>18897.638938668984</v>
      </c>
      <c r="V111" s="412">
        <f t="shared" si="53"/>
        <v>18897.638938668984</v>
      </c>
      <c r="W111" s="412">
        <f t="shared" si="53"/>
        <v>19797.52650717703</v>
      </c>
      <c r="X111" s="412">
        <f t="shared" si="53"/>
        <v>19797.52650717703</v>
      </c>
      <c r="Y111" s="412">
        <f t="shared" si="53"/>
        <v>20697.414075685076</v>
      </c>
      <c r="Z111" s="412">
        <f t="shared" si="53"/>
        <v>20697.414075685076</v>
      </c>
      <c r="AA111" s="412">
        <f t="shared" si="53"/>
        <v>21597.301644193125</v>
      </c>
    </row>
    <row r="112" spans="1:28" s="382" customFormat="1" hidden="1" outlineLevel="1" x14ac:dyDescent="0.2">
      <c r="A112" s="464"/>
      <c r="C112" s="477"/>
      <c r="D112" s="377" t="s">
        <v>294</v>
      </c>
      <c r="E112" s="391"/>
      <c r="F112" s="417"/>
      <c r="G112" s="418"/>
      <c r="H112" s="418"/>
      <c r="I112" s="418"/>
      <c r="J112" s="418"/>
      <c r="K112" s="418"/>
      <c r="L112" s="400">
        <f>-L111+L114</f>
        <v>-1499.8126141800785</v>
      </c>
      <c r="M112" s="400">
        <f t="shared" ref="M112:AA112" si="54">-M111+M114</f>
        <v>-1949.7563984341014</v>
      </c>
      <c r="N112" s="400">
        <f t="shared" si="54"/>
        <v>-2249.7189212701178</v>
      </c>
      <c r="O112" s="400">
        <f t="shared" si="54"/>
        <v>-2399.7001826881242</v>
      </c>
      <c r="P112" s="400">
        <f t="shared" si="54"/>
        <v>-2549.6814441061324</v>
      </c>
      <c r="Q112" s="400">
        <f t="shared" si="54"/>
        <v>-2699.6627055241406</v>
      </c>
      <c r="R112" s="400">
        <f t="shared" si="54"/>
        <v>-2849.643966942147</v>
      </c>
      <c r="S112" s="400">
        <f t="shared" si="54"/>
        <v>-2999.6252283601571</v>
      </c>
      <c r="T112" s="400">
        <f t="shared" si="54"/>
        <v>-2999.6252283601571</v>
      </c>
      <c r="U112" s="400">
        <f t="shared" si="54"/>
        <v>-3149.6064897781634</v>
      </c>
      <c r="V112" s="400">
        <f t="shared" si="54"/>
        <v>-3149.6064897781634</v>
      </c>
      <c r="W112" s="400">
        <f t="shared" si="54"/>
        <v>-3299.5877511961698</v>
      </c>
      <c r="X112" s="400">
        <f t="shared" si="54"/>
        <v>-3299.5877511961698</v>
      </c>
      <c r="Y112" s="400">
        <f t="shared" si="54"/>
        <v>-3449.5690126141781</v>
      </c>
      <c r="Z112" s="400">
        <f t="shared" si="54"/>
        <v>-3449.5690126141781</v>
      </c>
      <c r="AA112" s="400">
        <f t="shared" si="54"/>
        <v>-3599.5502740321863</v>
      </c>
    </row>
    <row r="113" spans="1:28" s="382" customFormat="1" hidden="1" outlineLevel="1" x14ac:dyDescent="0.2">
      <c r="A113" s="464"/>
      <c r="C113" s="477"/>
      <c r="D113" s="377"/>
      <c r="E113" s="391"/>
      <c r="F113" s="417"/>
      <c r="G113" s="418"/>
      <c r="H113" s="418"/>
      <c r="I113" s="418"/>
      <c r="J113" s="418"/>
      <c r="K113" s="418"/>
      <c r="L113" s="400"/>
      <c r="M113" s="400"/>
      <c r="N113" s="400"/>
      <c r="O113" s="400"/>
      <c r="P113" s="400"/>
      <c r="Q113" s="400"/>
      <c r="R113" s="400"/>
      <c r="S113" s="400"/>
      <c r="T113" s="400"/>
      <c r="U113" s="400"/>
      <c r="V113" s="400"/>
      <c r="W113" s="400"/>
      <c r="X113" s="400"/>
      <c r="Y113" s="400"/>
      <c r="Z113" s="400"/>
      <c r="AA113" s="400"/>
    </row>
    <row r="114" spans="1:28" hidden="1" outlineLevel="1" x14ac:dyDescent="0.2">
      <c r="A114" s="408"/>
      <c r="C114" s="478"/>
      <c r="D114" s="395" t="s">
        <v>208</v>
      </c>
      <c r="E114" s="396">
        <f>+Masterplan!T58/2</f>
        <v>14998.126141800782</v>
      </c>
      <c r="F114" s="397">
        <f>SUM(G114:AA114)</f>
        <v>227971.51735537188</v>
      </c>
      <c r="G114" s="328"/>
      <c r="H114" s="328"/>
      <c r="I114" s="328"/>
      <c r="J114" s="328"/>
      <c r="K114" s="328"/>
      <c r="L114" s="328">
        <f t="shared" ref="L114:M114" si="55">+$E$114*(1+L109)</f>
        <v>7499.0630709003908</v>
      </c>
      <c r="M114" s="328">
        <f t="shared" si="55"/>
        <v>9748.7819921705086</v>
      </c>
      <c r="N114" s="328">
        <f>+$E$114*(1+N109)</f>
        <v>11248.594606350587</v>
      </c>
      <c r="O114" s="328">
        <f t="shared" ref="O114:AA114" si="56">+$E$114*(1+O109)</f>
        <v>11998.500913440626</v>
      </c>
      <c r="P114" s="328">
        <f t="shared" si="56"/>
        <v>12748.407220530664</v>
      </c>
      <c r="Q114" s="328">
        <f t="shared" si="56"/>
        <v>13498.313527620703</v>
      </c>
      <c r="R114" s="328">
        <f t="shared" si="56"/>
        <v>14248.219834710742</v>
      </c>
      <c r="S114" s="328">
        <f t="shared" si="56"/>
        <v>14998.126141800782</v>
      </c>
      <c r="T114" s="328">
        <f t="shared" si="56"/>
        <v>14998.126141800782</v>
      </c>
      <c r="U114" s="328">
        <f t="shared" si="56"/>
        <v>15748.032448890821</v>
      </c>
      <c r="V114" s="328">
        <f t="shared" si="56"/>
        <v>15748.032448890821</v>
      </c>
      <c r="W114" s="328">
        <f t="shared" si="56"/>
        <v>16497.93875598086</v>
      </c>
      <c r="X114" s="328">
        <f t="shared" si="56"/>
        <v>16497.93875598086</v>
      </c>
      <c r="Y114" s="328">
        <f t="shared" si="56"/>
        <v>17247.845063070898</v>
      </c>
      <c r="Z114" s="328">
        <f t="shared" si="56"/>
        <v>17247.845063070898</v>
      </c>
      <c r="AA114" s="328">
        <f t="shared" si="56"/>
        <v>17997.751370160939</v>
      </c>
    </row>
    <row r="115" spans="1:28" hidden="1" outlineLevel="1" x14ac:dyDescent="0.2">
      <c r="A115" s="408"/>
      <c r="C115" s="478"/>
      <c r="D115" s="371"/>
      <c r="E115" s="371"/>
      <c r="F115" s="371"/>
      <c r="G115" s="371"/>
      <c r="H115" s="371"/>
      <c r="I115" s="371"/>
      <c r="J115" s="371"/>
      <c r="K115" s="371"/>
      <c r="L115" s="371"/>
      <c r="M115" s="371"/>
      <c r="N115" s="371"/>
      <c r="O115" s="371"/>
      <c r="P115" s="371"/>
      <c r="Q115" s="371"/>
      <c r="R115" s="371"/>
      <c r="S115" s="371"/>
      <c r="T115" s="371"/>
      <c r="U115" s="371"/>
      <c r="V115" s="371"/>
      <c r="W115" s="371"/>
      <c r="X115" s="371"/>
      <c r="Y115" s="371"/>
      <c r="Z115" s="371"/>
      <c r="AA115" s="371"/>
    </row>
    <row r="116" spans="1:28" hidden="1" outlineLevel="1" x14ac:dyDescent="0.2">
      <c r="A116" s="408"/>
      <c r="C116" s="478"/>
      <c r="D116" s="437" t="s">
        <v>130</v>
      </c>
      <c r="E116" s="482">
        <f>+E93</f>
        <v>0.08</v>
      </c>
      <c r="F116" s="437">
        <f>SUM(G116:AA116)</f>
        <v>449943.78425402346</v>
      </c>
      <c r="G116" s="437"/>
      <c r="H116" s="437"/>
      <c r="I116" s="437"/>
      <c r="J116" s="437"/>
      <c r="K116" s="437"/>
      <c r="L116" s="437"/>
      <c r="M116" s="437"/>
      <c r="N116" s="437"/>
      <c r="O116" s="437"/>
      <c r="P116" s="437"/>
      <c r="Q116" s="437"/>
      <c r="R116" s="437"/>
      <c r="S116" s="437"/>
      <c r="T116" s="437"/>
      <c r="U116" s="437"/>
      <c r="V116" s="437"/>
      <c r="W116" s="437"/>
      <c r="X116" s="437"/>
      <c r="Y116" s="437"/>
      <c r="Z116" s="437"/>
      <c r="AA116" s="438">
        <f>+AA114*2/E116</f>
        <v>449943.78425402346</v>
      </c>
      <c r="AB116" s="76">
        <f>+AA116/Masterplan!T46</f>
        <v>3993.0404523705961</v>
      </c>
    </row>
    <row r="117" spans="1:28" s="32" customFormat="1" collapsed="1" x14ac:dyDescent="0.2">
      <c r="A117" s="463"/>
      <c r="C117" s="476"/>
      <c r="D117" s="329" t="s">
        <v>338</v>
      </c>
      <c r="E117" s="329"/>
      <c r="F117" s="329">
        <f>SUM(G117:AA117)</f>
        <v>89971.517355371878</v>
      </c>
      <c r="G117" s="479">
        <f>+G116+G114+G106</f>
        <v>0</v>
      </c>
      <c r="H117" s="479">
        <f t="shared" ref="H117:Z117" si="57">+H116+H114+H106</f>
        <v>0</v>
      </c>
      <c r="I117" s="479">
        <f t="shared" si="57"/>
        <v>0</v>
      </c>
      <c r="J117" s="479">
        <f t="shared" si="57"/>
        <v>-138000</v>
      </c>
      <c r="K117" s="479">
        <f t="shared" si="57"/>
        <v>0</v>
      </c>
      <c r="L117" s="479">
        <f t="shared" si="57"/>
        <v>7499.0630709003908</v>
      </c>
      <c r="M117" s="479">
        <f t="shared" si="57"/>
        <v>9748.7819921705086</v>
      </c>
      <c r="N117" s="479">
        <f t="shared" si="57"/>
        <v>11248.594606350587</v>
      </c>
      <c r="O117" s="479">
        <f t="shared" si="57"/>
        <v>11998.500913440626</v>
      </c>
      <c r="P117" s="479">
        <f t="shared" si="57"/>
        <v>12748.407220530664</v>
      </c>
      <c r="Q117" s="479">
        <f t="shared" si="57"/>
        <v>13498.313527620703</v>
      </c>
      <c r="R117" s="479">
        <f t="shared" si="57"/>
        <v>14248.219834710742</v>
      </c>
      <c r="S117" s="479">
        <f t="shared" si="57"/>
        <v>14998.126141800782</v>
      </c>
      <c r="T117" s="479">
        <f t="shared" si="57"/>
        <v>14998.126141800782</v>
      </c>
      <c r="U117" s="479">
        <f t="shared" si="57"/>
        <v>15748.032448890821</v>
      </c>
      <c r="V117" s="479">
        <f t="shared" si="57"/>
        <v>15748.032448890821</v>
      </c>
      <c r="W117" s="479">
        <f t="shared" si="57"/>
        <v>16497.93875598086</v>
      </c>
      <c r="X117" s="479">
        <f t="shared" si="57"/>
        <v>16497.93875598086</v>
      </c>
      <c r="Y117" s="479">
        <f t="shared" si="57"/>
        <v>17247.845063070898</v>
      </c>
      <c r="Z117" s="479">
        <f t="shared" si="57"/>
        <v>17247.845063070898</v>
      </c>
      <c r="AA117" s="479">
        <f>AA114</f>
        <v>17997.751370160939</v>
      </c>
    </row>
    <row r="118" spans="1:28" x14ac:dyDescent="0.2">
      <c r="A118" s="408"/>
    </row>
    <row r="119" spans="1:28" x14ac:dyDescent="0.2">
      <c r="A119" s="408"/>
      <c r="C119" s="261" t="s">
        <v>306</v>
      </c>
      <c r="D119" s="32" t="s">
        <v>303</v>
      </c>
      <c r="E119" s="424" t="s">
        <v>304</v>
      </c>
    </row>
    <row r="120" spans="1:28" x14ac:dyDescent="0.2">
      <c r="A120" s="408"/>
      <c r="C120" s="488"/>
      <c r="D120" s="369" t="s">
        <v>49</v>
      </c>
      <c r="E120" s="369"/>
      <c r="F120" s="369">
        <f ca="1">SUM(G120:AA120)</f>
        <v>11629305.814993154</v>
      </c>
      <c r="G120" s="492"/>
      <c r="H120" s="492">
        <f ca="1">-2387837.58952863+Balance!D9</f>
        <v>-455437.58952863025</v>
      </c>
      <c r="I120" s="492">
        <v>1638874.8173460618</v>
      </c>
      <c r="J120" s="492">
        <v>1029318.101196654</v>
      </c>
      <c r="K120" s="492">
        <v>738851.16186435288</v>
      </c>
      <c r="L120" s="492">
        <v>-153216.67219230684</v>
      </c>
      <c r="M120" s="492">
        <v>-821186.43360819609</v>
      </c>
      <c r="N120" s="286">
        <v>3078613.1965354695</v>
      </c>
      <c r="O120" s="286">
        <v>3023043.5735939457</v>
      </c>
      <c r="P120" s="286">
        <v>2237569.8635158371</v>
      </c>
      <c r="Q120" s="286">
        <v>1312875.7962699658</v>
      </c>
      <c r="R120" s="286"/>
      <c r="S120" s="286"/>
      <c r="T120" s="286">
        <f>+'[7]Resid - BCase Base'!P321</f>
        <v>0</v>
      </c>
      <c r="U120" s="286">
        <f>+'[7]Resid - BCase Base'!Q321</f>
        <v>0</v>
      </c>
      <c r="V120" s="286">
        <f>+'[7]Resid - BCase Base'!R321</f>
        <v>0</v>
      </c>
      <c r="W120" s="286">
        <f>+'[7]Resid - BCase Base'!S321</f>
        <v>0</v>
      </c>
      <c r="X120" s="286">
        <f>+'[7]Resid - BCase Base'!T321</f>
        <v>0</v>
      </c>
      <c r="Y120" s="286">
        <f>+'[7]Resid - BCase Base'!U321</f>
        <v>0</v>
      </c>
      <c r="Z120" s="286">
        <f>+'[7]Resid - BCase Base'!V321</f>
        <v>0</v>
      </c>
      <c r="AA120" s="286">
        <f>+'[7]Resid - BCase Base'!W321</f>
        <v>0</v>
      </c>
    </row>
    <row r="121" spans="1:28" s="32" customFormat="1" x14ac:dyDescent="0.2">
      <c r="A121" s="463"/>
      <c r="C121" s="489"/>
      <c r="D121" s="490" t="s">
        <v>339</v>
      </c>
      <c r="E121" s="490"/>
      <c r="F121" s="490">
        <f ca="1">SUM(G121:AA121)</f>
        <v>11629305.814993154</v>
      </c>
      <c r="G121" s="491">
        <f>+G120</f>
        <v>0</v>
      </c>
      <c r="H121" s="491">
        <f t="shared" ref="H121:AA121" ca="1" si="58">+H120</f>
        <v>-455437.58952863025</v>
      </c>
      <c r="I121" s="491">
        <f t="shared" si="58"/>
        <v>1638874.8173460618</v>
      </c>
      <c r="J121" s="491">
        <f t="shared" si="58"/>
        <v>1029318.101196654</v>
      </c>
      <c r="K121" s="491">
        <f t="shared" si="58"/>
        <v>738851.16186435288</v>
      </c>
      <c r="L121" s="491">
        <f t="shared" si="58"/>
        <v>-153216.67219230684</v>
      </c>
      <c r="M121" s="491">
        <f t="shared" si="58"/>
        <v>-821186.43360819609</v>
      </c>
      <c r="N121" s="491">
        <f t="shared" si="58"/>
        <v>3078613.1965354695</v>
      </c>
      <c r="O121" s="491">
        <f t="shared" si="58"/>
        <v>3023043.5735939457</v>
      </c>
      <c r="P121" s="491">
        <f t="shared" si="58"/>
        <v>2237569.8635158371</v>
      </c>
      <c r="Q121" s="491">
        <f t="shared" si="58"/>
        <v>1312875.7962699658</v>
      </c>
      <c r="R121" s="491">
        <f t="shared" si="58"/>
        <v>0</v>
      </c>
      <c r="S121" s="491">
        <f t="shared" si="58"/>
        <v>0</v>
      </c>
      <c r="T121" s="491">
        <f t="shared" si="58"/>
        <v>0</v>
      </c>
      <c r="U121" s="491">
        <f t="shared" si="58"/>
        <v>0</v>
      </c>
      <c r="V121" s="491">
        <f t="shared" si="58"/>
        <v>0</v>
      </c>
      <c r="W121" s="491">
        <f t="shared" si="58"/>
        <v>0</v>
      </c>
      <c r="X121" s="491">
        <f t="shared" si="58"/>
        <v>0</v>
      </c>
      <c r="Y121" s="491">
        <f t="shared" si="58"/>
        <v>0</v>
      </c>
      <c r="Z121" s="491">
        <f t="shared" si="58"/>
        <v>0</v>
      </c>
      <c r="AA121" s="491">
        <f t="shared" si="58"/>
        <v>0</v>
      </c>
    </row>
    <row r="122" spans="1:28" x14ac:dyDescent="0.2">
      <c r="A122" s="408"/>
      <c r="D122" s="41" t="s">
        <v>137</v>
      </c>
    </row>
    <row r="123" spans="1:28" x14ac:dyDescent="0.2">
      <c r="A123" s="408"/>
      <c r="D123" s="41"/>
    </row>
    <row r="124" spans="1:28" x14ac:dyDescent="0.2">
      <c r="A124" s="408"/>
      <c r="B124" s="408"/>
      <c r="C124" s="408"/>
      <c r="D124" s="405" t="s">
        <v>308</v>
      </c>
      <c r="E124" s="405"/>
      <c r="F124" s="405">
        <f ca="1">SUM(G124:AA124)</f>
        <v>11719277.332348533</v>
      </c>
      <c r="G124" s="406">
        <f>G117+G121</f>
        <v>0</v>
      </c>
      <c r="H124" s="406">
        <f t="shared" ref="H124:AA124" ca="1" si="59">H117+H121</f>
        <v>-455437.58952863025</v>
      </c>
      <c r="I124" s="406">
        <f t="shared" si="59"/>
        <v>1638874.8173460618</v>
      </c>
      <c r="J124" s="406">
        <f t="shared" si="59"/>
        <v>891318.10119665402</v>
      </c>
      <c r="K124" s="406">
        <f t="shared" si="59"/>
        <v>738851.16186435288</v>
      </c>
      <c r="L124" s="406">
        <f t="shared" si="59"/>
        <v>-145717.60912140645</v>
      </c>
      <c r="M124" s="406">
        <f t="shared" si="59"/>
        <v>-811437.6516160256</v>
      </c>
      <c r="N124" s="406">
        <f t="shared" si="59"/>
        <v>3089861.7911418201</v>
      </c>
      <c r="O124" s="406">
        <f t="shared" si="59"/>
        <v>3035042.0745073864</v>
      </c>
      <c r="P124" s="406">
        <f t="shared" si="59"/>
        <v>2250318.2707363679</v>
      </c>
      <c r="Q124" s="406">
        <f t="shared" si="59"/>
        <v>1326374.1097975865</v>
      </c>
      <c r="R124" s="406">
        <f t="shared" si="59"/>
        <v>14248.219834710742</v>
      </c>
      <c r="S124" s="406">
        <f t="shared" si="59"/>
        <v>14998.126141800782</v>
      </c>
      <c r="T124" s="406">
        <f t="shared" si="59"/>
        <v>14998.126141800782</v>
      </c>
      <c r="U124" s="406">
        <f t="shared" si="59"/>
        <v>15748.032448890821</v>
      </c>
      <c r="V124" s="406">
        <f t="shared" si="59"/>
        <v>15748.032448890821</v>
      </c>
      <c r="W124" s="406">
        <f t="shared" si="59"/>
        <v>16497.93875598086</v>
      </c>
      <c r="X124" s="406">
        <f t="shared" si="59"/>
        <v>16497.93875598086</v>
      </c>
      <c r="Y124" s="406">
        <f t="shared" si="59"/>
        <v>17247.845063070898</v>
      </c>
      <c r="Z124" s="406">
        <f t="shared" si="59"/>
        <v>17247.845063070898</v>
      </c>
      <c r="AA124" s="406">
        <f t="shared" si="59"/>
        <v>17997.751370160939</v>
      </c>
    </row>
    <row r="125" spans="1:28" s="371" customFormat="1" ht="7" customHeight="1" x14ac:dyDescent="0.2">
      <c r="D125" s="388"/>
      <c r="E125" s="388"/>
      <c r="F125" s="388"/>
    </row>
    <row r="126" spans="1:28" s="428" customFormat="1" x14ac:dyDescent="0.2">
      <c r="A126" s="472"/>
      <c r="D126" s="425" t="s">
        <v>310</v>
      </c>
      <c r="E126" s="436">
        <v>0.04</v>
      </c>
      <c r="F126" s="425">
        <f ca="1">SUM(G126:AA126)</f>
        <v>0</v>
      </c>
      <c r="G126" s="425"/>
      <c r="H126" s="426">
        <f>H111*-E126/2</f>
        <v>0</v>
      </c>
      <c r="I126" s="426">
        <f t="shared" ref="I126:AA126" ca="1" si="60">I111*-F126/2</f>
        <v>0</v>
      </c>
      <c r="J126" s="426">
        <f t="shared" si="60"/>
        <v>0</v>
      </c>
      <c r="K126" s="426">
        <f t="shared" si="60"/>
        <v>0</v>
      </c>
      <c r="L126" s="426">
        <f t="shared" ca="1" si="60"/>
        <v>0</v>
      </c>
      <c r="M126" s="426">
        <f t="shared" si="60"/>
        <v>0</v>
      </c>
      <c r="N126" s="426">
        <f t="shared" si="60"/>
        <v>0</v>
      </c>
      <c r="O126" s="426">
        <f t="shared" ca="1" si="60"/>
        <v>0</v>
      </c>
      <c r="P126" s="426">
        <f t="shared" si="60"/>
        <v>0</v>
      </c>
      <c r="Q126" s="426">
        <f t="shared" si="60"/>
        <v>0</v>
      </c>
      <c r="R126" s="426">
        <f t="shared" ca="1" si="60"/>
        <v>0</v>
      </c>
      <c r="S126" s="426">
        <f t="shared" si="60"/>
        <v>0</v>
      </c>
      <c r="T126" s="426">
        <f t="shared" si="60"/>
        <v>0</v>
      </c>
      <c r="U126" s="426">
        <f t="shared" ca="1" si="60"/>
        <v>0</v>
      </c>
      <c r="V126" s="426">
        <f t="shared" si="60"/>
        <v>0</v>
      </c>
      <c r="W126" s="426">
        <f t="shared" si="60"/>
        <v>0</v>
      </c>
      <c r="X126" s="426">
        <f t="shared" ca="1" si="60"/>
        <v>0</v>
      </c>
      <c r="Y126" s="426">
        <f t="shared" si="60"/>
        <v>0</v>
      </c>
      <c r="Z126" s="426">
        <f t="shared" si="60"/>
        <v>0</v>
      </c>
      <c r="AA126" s="426">
        <f t="shared" ca="1" si="60"/>
        <v>0</v>
      </c>
      <c r="AB126" s="427"/>
    </row>
    <row r="127" spans="1:28" s="371" customFormat="1" ht="7" customHeight="1" x14ac:dyDescent="0.2">
      <c r="D127" s="388"/>
      <c r="E127" s="388"/>
      <c r="F127" s="388"/>
    </row>
    <row r="128" spans="1:28" s="365" customFormat="1" collapsed="1" x14ac:dyDescent="0.2">
      <c r="A128" s="480"/>
      <c r="B128" s="367"/>
      <c r="D128" s="364" t="s">
        <v>259</v>
      </c>
    </row>
    <row r="129" spans="1:28" s="371" customFormat="1" ht="7" customHeight="1" x14ac:dyDescent="0.2">
      <c r="D129" s="388"/>
      <c r="E129" s="388"/>
      <c r="F129" s="388"/>
    </row>
    <row r="130" spans="1:28" s="62" customFormat="1" x14ac:dyDescent="0.2">
      <c r="A130" s="481"/>
      <c r="C130" s="499" t="s">
        <v>305</v>
      </c>
      <c r="D130" s="49" t="s">
        <v>313</v>
      </c>
    </row>
    <row r="131" spans="1:28" s="32" customFormat="1" x14ac:dyDescent="0.2">
      <c r="A131" s="463"/>
      <c r="C131" s="500"/>
      <c r="D131" s="421" t="s">
        <v>51</v>
      </c>
      <c r="E131" s="369"/>
      <c r="F131" s="370">
        <f>SUM(G131:AA131)</f>
        <v>1</v>
      </c>
      <c r="G131" s="411"/>
      <c r="H131" s="376"/>
      <c r="I131" s="376">
        <v>0.1</v>
      </c>
      <c r="J131" s="376">
        <v>0.35</v>
      </c>
      <c r="K131" s="376">
        <v>0.35</v>
      </c>
      <c r="L131" s="376">
        <v>0.05</v>
      </c>
      <c r="M131" s="376">
        <v>0.05</v>
      </c>
      <c r="N131" s="376">
        <v>0.05</v>
      </c>
      <c r="O131" s="376">
        <v>0.05</v>
      </c>
      <c r="P131" s="376">
        <v>0</v>
      </c>
      <c r="Q131" s="376">
        <v>0</v>
      </c>
      <c r="R131" s="376">
        <v>0</v>
      </c>
      <c r="S131" s="376">
        <v>0</v>
      </c>
      <c r="T131" s="376">
        <v>0</v>
      </c>
      <c r="U131" s="376">
        <v>0</v>
      </c>
      <c r="V131" s="376">
        <v>0</v>
      </c>
      <c r="W131" s="376">
        <v>0</v>
      </c>
      <c r="X131" s="376">
        <v>0</v>
      </c>
      <c r="Y131" s="376">
        <v>0</v>
      </c>
      <c r="Z131" s="376">
        <v>0</v>
      </c>
      <c r="AA131" s="376">
        <v>0</v>
      </c>
    </row>
    <row r="132" spans="1:28" s="390" customFormat="1" x14ac:dyDescent="0.2">
      <c r="A132" s="463"/>
      <c r="C132" s="500"/>
      <c r="D132" s="377" t="s">
        <v>311</v>
      </c>
      <c r="E132" s="378">
        <f>E12</f>
        <v>6553965</v>
      </c>
      <c r="F132" s="404">
        <f>SUM(G132:AA132)</f>
        <v>-6553965</v>
      </c>
      <c r="G132" s="379"/>
      <c r="H132" s="380">
        <f>-H131*$E$12</f>
        <v>0</v>
      </c>
      <c r="I132" s="380">
        <f t="shared" ref="I132:AA132" si="61">-I131*$E$12</f>
        <v>-655396.5</v>
      </c>
      <c r="J132" s="380">
        <f t="shared" si="61"/>
        <v>-2293887.75</v>
      </c>
      <c r="K132" s="380">
        <f t="shared" si="61"/>
        <v>-2293887.75</v>
      </c>
      <c r="L132" s="380">
        <f t="shared" si="61"/>
        <v>-327698.25</v>
      </c>
      <c r="M132" s="380">
        <f t="shared" si="61"/>
        <v>-327698.25</v>
      </c>
      <c r="N132" s="380">
        <f t="shared" si="61"/>
        <v>-327698.25</v>
      </c>
      <c r="O132" s="380">
        <f t="shared" si="61"/>
        <v>-327698.25</v>
      </c>
      <c r="P132" s="380">
        <f t="shared" si="61"/>
        <v>0</v>
      </c>
      <c r="Q132" s="380">
        <f t="shared" si="61"/>
        <v>0</v>
      </c>
      <c r="R132" s="380">
        <f t="shared" si="61"/>
        <v>0</v>
      </c>
      <c r="S132" s="380">
        <f t="shared" si="61"/>
        <v>0</v>
      </c>
      <c r="T132" s="380">
        <f t="shared" si="61"/>
        <v>0</v>
      </c>
      <c r="U132" s="380">
        <f t="shared" si="61"/>
        <v>0</v>
      </c>
      <c r="V132" s="380">
        <f t="shared" si="61"/>
        <v>0</v>
      </c>
      <c r="W132" s="380">
        <f t="shared" si="61"/>
        <v>0</v>
      </c>
      <c r="X132" s="380">
        <f t="shared" si="61"/>
        <v>0</v>
      </c>
      <c r="Y132" s="380">
        <f t="shared" si="61"/>
        <v>0</v>
      </c>
      <c r="Z132" s="380">
        <f t="shared" si="61"/>
        <v>0</v>
      </c>
      <c r="AA132" s="380">
        <f t="shared" si="61"/>
        <v>0</v>
      </c>
    </row>
    <row r="133" spans="1:28" s="390" customFormat="1" x14ac:dyDescent="0.2">
      <c r="A133" s="463"/>
      <c r="C133" s="500"/>
      <c r="D133" s="372" t="s">
        <v>312</v>
      </c>
      <c r="E133" s="373">
        <v>500000</v>
      </c>
      <c r="F133" s="403">
        <f>SUM(H133:AA133)</f>
        <v>-500000</v>
      </c>
      <c r="G133" s="374"/>
      <c r="H133" s="375">
        <f>-$E$237/4</f>
        <v>-125000</v>
      </c>
      <c r="I133" s="375">
        <f t="shared" ref="I133:K133" si="62">-$E$237/4</f>
        <v>-125000</v>
      </c>
      <c r="J133" s="375">
        <f t="shared" si="62"/>
        <v>-125000</v>
      </c>
      <c r="K133" s="375">
        <f t="shared" si="62"/>
        <v>-125000</v>
      </c>
      <c r="L133" s="375"/>
      <c r="M133" s="375"/>
      <c r="N133" s="375"/>
      <c r="O133" s="375"/>
      <c r="P133" s="375"/>
      <c r="Q133" s="375"/>
      <c r="R133" s="375"/>
      <c r="S133" s="375"/>
      <c r="T133" s="375"/>
      <c r="U133" s="375"/>
      <c r="V133" s="375"/>
      <c r="W133" s="375"/>
      <c r="X133" s="375"/>
      <c r="Y133" s="375"/>
      <c r="Z133" s="375"/>
      <c r="AA133" s="375"/>
    </row>
    <row r="134" spans="1:28" s="371" customFormat="1" ht="7" customHeight="1" x14ac:dyDescent="0.2">
      <c r="A134" s="408"/>
      <c r="C134" s="501"/>
      <c r="D134" s="388"/>
      <c r="E134" s="388"/>
      <c r="F134" s="388"/>
    </row>
    <row r="135" spans="1:28" s="371" customFormat="1" x14ac:dyDescent="0.2">
      <c r="A135" s="408"/>
      <c r="C135" s="500"/>
      <c r="D135" s="377" t="s">
        <v>289</v>
      </c>
      <c r="E135" s="387"/>
      <c r="F135" s="388"/>
      <c r="G135" s="388"/>
      <c r="H135" s="389"/>
      <c r="I135" s="389"/>
      <c r="J135" s="389"/>
      <c r="K135" s="389"/>
      <c r="L135" s="389"/>
      <c r="M135" s="389"/>
      <c r="N135" s="389"/>
      <c r="O135" s="389"/>
      <c r="P135" s="389"/>
      <c r="Q135" s="389"/>
      <c r="R135" s="389"/>
      <c r="S135" s="389"/>
      <c r="T135" s="389"/>
      <c r="U135" s="389"/>
      <c r="V135" s="389"/>
      <c r="W135" s="389"/>
      <c r="X135" s="389"/>
      <c r="Y135" s="389"/>
      <c r="Z135" s="389"/>
      <c r="AA135" s="389"/>
    </row>
    <row r="136" spans="1:28" s="371" customFormat="1" x14ac:dyDescent="0.2">
      <c r="A136" s="408"/>
      <c r="C136" s="502"/>
      <c r="D136" s="383" t="s">
        <v>178</v>
      </c>
      <c r="E136" s="384">
        <f>E287</f>
        <v>57972</v>
      </c>
      <c r="F136" s="370">
        <f t="shared" ref="F136" si="63">SUM(G136:AA136)</f>
        <v>1</v>
      </c>
      <c r="G136" s="411"/>
      <c r="H136" s="376"/>
      <c r="I136" s="376"/>
      <c r="J136" s="376"/>
      <c r="K136" s="376">
        <v>0.125</v>
      </c>
      <c r="L136" s="376">
        <v>0.125</v>
      </c>
      <c r="M136" s="376">
        <v>0.125</v>
      </c>
      <c r="N136" s="376">
        <v>0.125</v>
      </c>
      <c r="O136" s="376">
        <v>0.125</v>
      </c>
      <c r="P136" s="376">
        <v>0.125</v>
      </c>
      <c r="Q136" s="376">
        <v>0.125</v>
      </c>
      <c r="R136" s="376">
        <v>0.125</v>
      </c>
      <c r="S136" s="376"/>
      <c r="T136" s="376"/>
      <c r="U136" s="376"/>
      <c r="V136" s="376"/>
      <c r="W136" s="376"/>
      <c r="X136" s="376"/>
      <c r="Y136" s="376"/>
      <c r="Z136" s="376"/>
      <c r="AA136" s="376"/>
      <c r="AB136" s="415"/>
    </row>
    <row r="137" spans="1:28" s="371" customFormat="1" x14ac:dyDescent="0.2">
      <c r="A137" s="408"/>
      <c r="C137" s="502"/>
      <c r="D137" s="416"/>
      <c r="E137" s="391"/>
      <c r="F137" s="392"/>
      <c r="G137" s="420"/>
      <c r="H137" s="417">
        <f>G137+H136</f>
        <v>0</v>
      </c>
      <c r="I137" s="417">
        <f t="shared" ref="I137:AA137" si="64">H137+I136</f>
        <v>0</v>
      </c>
      <c r="J137" s="417">
        <f t="shared" si="64"/>
        <v>0</v>
      </c>
      <c r="K137" s="417">
        <f t="shared" si="64"/>
        <v>0.125</v>
      </c>
      <c r="L137" s="417">
        <f t="shared" si="64"/>
        <v>0.25</v>
      </c>
      <c r="M137" s="417">
        <f t="shared" si="64"/>
        <v>0.375</v>
      </c>
      <c r="N137" s="417">
        <f t="shared" si="64"/>
        <v>0.5</v>
      </c>
      <c r="O137" s="417">
        <f t="shared" si="64"/>
        <v>0.625</v>
      </c>
      <c r="P137" s="417">
        <f t="shared" si="64"/>
        <v>0.75</v>
      </c>
      <c r="Q137" s="417">
        <f t="shared" si="64"/>
        <v>0.875</v>
      </c>
      <c r="R137" s="417">
        <f t="shared" si="64"/>
        <v>1</v>
      </c>
      <c r="S137" s="417">
        <f t="shared" si="64"/>
        <v>1</v>
      </c>
      <c r="T137" s="417">
        <f t="shared" si="64"/>
        <v>1</v>
      </c>
      <c r="U137" s="417">
        <f t="shared" si="64"/>
        <v>1</v>
      </c>
      <c r="V137" s="417">
        <f t="shared" si="64"/>
        <v>1</v>
      </c>
      <c r="W137" s="417">
        <f t="shared" si="64"/>
        <v>1</v>
      </c>
      <c r="X137" s="417">
        <f t="shared" si="64"/>
        <v>1</v>
      </c>
      <c r="Y137" s="417">
        <f t="shared" si="64"/>
        <v>1</v>
      </c>
      <c r="Z137" s="417">
        <f t="shared" si="64"/>
        <v>1</v>
      </c>
      <c r="AA137" s="417">
        <f t="shared" si="64"/>
        <v>1</v>
      </c>
      <c r="AB137" s="415"/>
    </row>
    <row r="138" spans="1:28" s="371" customFormat="1" ht="7" customHeight="1" x14ac:dyDescent="0.2">
      <c r="A138" s="408"/>
      <c r="C138" s="502"/>
      <c r="D138" s="416"/>
      <c r="E138" s="391"/>
      <c r="F138" s="417"/>
      <c r="G138" s="418"/>
      <c r="H138" s="418"/>
      <c r="I138" s="418"/>
      <c r="J138" s="418"/>
      <c r="K138" s="418"/>
      <c r="L138" s="418"/>
      <c r="M138" s="418"/>
      <c r="N138" s="418"/>
      <c r="O138" s="418"/>
      <c r="P138" s="418"/>
      <c r="Q138" s="418"/>
      <c r="R138" s="418"/>
      <c r="S138" s="418"/>
      <c r="T138" s="418"/>
      <c r="U138" s="418"/>
      <c r="V138" s="418"/>
      <c r="W138" s="418"/>
      <c r="X138" s="418"/>
      <c r="Y138" s="418"/>
      <c r="Z138" s="418"/>
      <c r="AA138" s="418"/>
    </row>
    <row r="139" spans="1:28" s="371" customFormat="1" x14ac:dyDescent="0.2">
      <c r="A139" s="408"/>
      <c r="C139" s="502"/>
      <c r="D139" s="416" t="s">
        <v>179</v>
      </c>
      <c r="E139" s="391" t="s">
        <v>316</v>
      </c>
      <c r="F139" s="507">
        <f>F294</f>
        <v>387.5</v>
      </c>
      <c r="G139" s="420"/>
      <c r="H139" s="415"/>
      <c r="I139" s="415"/>
      <c r="J139" s="415"/>
      <c r="K139" s="506">
        <v>300</v>
      </c>
      <c r="L139" s="506">
        <v>325</v>
      </c>
      <c r="M139" s="506">
        <v>350</v>
      </c>
      <c r="N139" s="506">
        <v>375</v>
      </c>
      <c r="O139" s="506">
        <v>400</v>
      </c>
      <c r="P139" s="506">
        <v>425</v>
      </c>
      <c r="Q139" s="506">
        <v>450</v>
      </c>
      <c r="R139" s="506">
        <v>475</v>
      </c>
      <c r="S139" s="415"/>
      <c r="T139" s="415"/>
      <c r="U139" s="415"/>
      <c r="V139" s="415"/>
      <c r="W139" s="415"/>
      <c r="X139" s="415"/>
      <c r="Y139" s="415"/>
      <c r="Z139" s="415"/>
      <c r="AA139" s="415"/>
    </row>
    <row r="140" spans="1:28" s="371" customFormat="1" x14ac:dyDescent="0.2">
      <c r="A140" s="408"/>
      <c r="C140" s="501"/>
      <c r="D140" s="377" t="s">
        <v>250</v>
      </c>
      <c r="E140" s="391"/>
      <c r="F140" s="379">
        <f>SUM(H140:AA140)</f>
        <v>22464150</v>
      </c>
      <c r="G140" s="379"/>
      <c r="H140" s="400">
        <f>$E$136*H136*H139</f>
        <v>0</v>
      </c>
      <c r="I140" s="400">
        <f t="shared" ref="I140:AA140" si="65">$E$136*I136*I139</f>
        <v>0</v>
      </c>
      <c r="J140" s="400">
        <f t="shared" si="65"/>
        <v>0</v>
      </c>
      <c r="K140" s="400">
        <f t="shared" si="65"/>
        <v>2173950</v>
      </c>
      <c r="L140" s="400">
        <f t="shared" si="65"/>
        <v>2355112.5</v>
      </c>
      <c r="M140" s="400">
        <f t="shared" si="65"/>
        <v>2536275</v>
      </c>
      <c r="N140" s="400">
        <f t="shared" si="65"/>
        <v>2717437.5</v>
      </c>
      <c r="O140" s="400">
        <f t="shared" si="65"/>
        <v>2898600</v>
      </c>
      <c r="P140" s="400">
        <f t="shared" si="65"/>
        <v>3079762.5</v>
      </c>
      <c r="Q140" s="400">
        <f t="shared" si="65"/>
        <v>3260925</v>
      </c>
      <c r="R140" s="400">
        <f t="shared" si="65"/>
        <v>3442087.5</v>
      </c>
      <c r="S140" s="400">
        <f t="shared" si="65"/>
        <v>0</v>
      </c>
      <c r="T140" s="400">
        <f t="shared" si="65"/>
        <v>0</v>
      </c>
      <c r="U140" s="400">
        <f t="shared" si="65"/>
        <v>0</v>
      </c>
      <c r="V140" s="400">
        <f t="shared" si="65"/>
        <v>0</v>
      </c>
      <c r="W140" s="400">
        <f t="shared" si="65"/>
        <v>0</v>
      </c>
      <c r="X140" s="400">
        <f t="shared" si="65"/>
        <v>0</v>
      </c>
      <c r="Y140" s="400">
        <f t="shared" si="65"/>
        <v>0</v>
      </c>
      <c r="Z140" s="400">
        <f t="shared" si="65"/>
        <v>0</v>
      </c>
      <c r="AA140" s="400">
        <f t="shared" si="65"/>
        <v>0</v>
      </c>
    </row>
    <row r="141" spans="1:28" s="371" customFormat="1" x14ac:dyDescent="0.2">
      <c r="A141" s="408"/>
      <c r="C141" s="501"/>
      <c r="D141" s="377" t="s">
        <v>202</v>
      </c>
      <c r="E141" s="402">
        <v>0.85</v>
      </c>
      <c r="F141" s="379">
        <f>SUM(H141:AA141)</f>
        <v>2564421.5249999994</v>
      </c>
      <c r="G141" s="379"/>
      <c r="H141" s="401">
        <f>(H143+H145)*-$E$141*H137</f>
        <v>0</v>
      </c>
      <c r="I141" s="401">
        <f t="shared" ref="I141:AA141" si="66">(I143+I145)*-$E$141*I137</f>
        <v>0</v>
      </c>
      <c r="J141" s="401">
        <f t="shared" si="66"/>
        <v>0</v>
      </c>
      <c r="K141" s="401">
        <f t="shared" si="66"/>
        <v>23744.643749999999</v>
      </c>
      <c r="L141" s="401">
        <f t="shared" si="66"/>
        <v>47489.287499999999</v>
      </c>
      <c r="M141" s="401">
        <f t="shared" si="66"/>
        <v>71233.931249999994</v>
      </c>
      <c r="N141" s="401">
        <f t="shared" si="66"/>
        <v>94978.574999999997</v>
      </c>
      <c r="O141" s="401">
        <f t="shared" si="66"/>
        <v>118723.21875</v>
      </c>
      <c r="P141" s="401">
        <f t="shared" si="66"/>
        <v>142467.86249999999</v>
      </c>
      <c r="Q141" s="401">
        <f t="shared" si="66"/>
        <v>166212.50625000001</v>
      </c>
      <c r="R141" s="401">
        <f t="shared" si="66"/>
        <v>189957.15</v>
      </c>
      <c r="S141" s="401">
        <f t="shared" si="66"/>
        <v>189957.15</v>
      </c>
      <c r="T141" s="401">
        <f t="shared" si="66"/>
        <v>189957.15</v>
      </c>
      <c r="U141" s="401">
        <f t="shared" si="66"/>
        <v>189957.15</v>
      </c>
      <c r="V141" s="401">
        <f t="shared" si="66"/>
        <v>189957.15</v>
      </c>
      <c r="W141" s="401">
        <f t="shared" si="66"/>
        <v>189957.15</v>
      </c>
      <c r="X141" s="401">
        <f t="shared" si="66"/>
        <v>189957.15</v>
      </c>
      <c r="Y141" s="401">
        <f t="shared" si="66"/>
        <v>189957.15</v>
      </c>
      <c r="Z141" s="401">
        <f t="shared" si="66"/>
        <v>189957.15</v>
      </c>
      <c r="AA141" s="401">
        <f t="shared" si="66"/>
        <v>189957.15</v>
      </c>
    </row>
    <row r="142" spans="1:28" x14ac:dyDescent="0.2">
      <c r="A142" s="408"/>
      <c r="C142" s="503"/>
      <c r="D142" s="386" t="s">
        <v>209</v>
      </c>
      <c r="E142" s="393"/>
      <c r="F142" s="508">
        <f>SUM(F140:F141)</f>
        <v>25028571.524999999</v>
      </c>
      <c r="G142" s="422"/>
      <c r="H142" s="439">
        <f>SUM(H140:H141)</f>
        <v>0</v>
      </c>
      <c r="I142" s="439">
        <f t="shared" ref="I142:Z142" si="67">SUM(I140:I141)</f>
        <v>0</v>
      </c>
      <c r="J142" s="439">
        <f t="shared" si="67"/>
        <v>0</v>
      </c>
      <c r="K142" s="439">
        <f t="shared" si="67"/>
        <v>2197694.6437499998</v>
      </c>
      <c r="L142" s="439">
        <f t="shared" si="67"/>
        <v>2402601.7875000001</v>
      </c>
      <c r="M142" s="439">
        <f t="shared" si="67"/>
        <v>2607508.9312499999</v>
      </c>
      <c r="N142" s="439">
        <f t="shared" si="67"/>
        <v>2812416.0750000002</v>
      </c>
      <c r="O142" s="439">
        <f t="shared" si="67"/>
        <v>3017323.21875</v>
      </c>
      <c r="P142" s="439">
        <f t="shared" si="67"/>
        <v>3222230.3624999998</v>
      </c>
      <c r="Q142" s="439">
        <f t="shared" si="67"/>
        <v>3427137.5062500001</v>
      </c>
      <c r="R142" s="439">
        <f t="shared" si="67"/>
        <v>3632044.65</v>
      </c>
      <c r="S142" s="439">
        <f t="shared" si="67"/>
        <v>189957.15</v>
      </c>
      <c r="T142" s="439">
        <f t="shared" si="67"/>
        <v>189957.15</v>
      </c>
      <c r="U142" s="439">
        <f t="shared" si="67"/>
        <v>189957.15</v>
      </c>
      <c r="V142" s="439">
        <f t="shared" si="67"/>
        <v>189957.15</v>
      </c>
      <c r="W142" s="439">
        <f t="shared" si="67"/>
        <v>189957.15</v>
      </c>
      <c r="X142" s="439">
        <f t="shared" si="67"/>
        <v>189957.15</v>
      </c>
      <c r="Y142" s="439">
        <f t="shared" si="67"/>
        <v>189957.15</v>
      </c>
      <c r="Z142" s="439">
        <f t="shared" si="67"/>
        <v>189957.15</v>
      </c>
      <c r="AA142" s="439">
        <f>SUM(AA140:AA141)</f>
        <v>189957.15</v>
      </c>
    </row>
    <row r="143" spans="1:28" x14ac:dyDescent="0.2">
      <c r="A143" s="408"/>
      <c r="C143" s="501"/>
      <c r="D143" s="377" t="s">
        <v>314</v>
      </c>
      <c r="E143" s="391"/>
      <c r="F143" s="379">
        <f>SUM(H143:AA143)</f>
        <v>-3330000</v>
      </c>
      <c r="G143" s="379"/>
      <c r="H143" s="400">
        <f>H240</f>
        <v>-90000</v>
      </c>
      <c r="I143" s="400">
        <f t="shared" ref="I143:AA143" si="68">I240</f>
        <v>-90000</v>
      </c>
      <c r="J143" s="400">
        <f t="shared" si="68"/>
        <v>-90000</v>
      </c>
      <c r="K143" s="400">
        <f t="shared" si="68"/>
        <v>-180000</v>
      </c>
      <c r="L143" s="400">
        <f t="shared" si="68"/>
        <v>-180000</v>
      </c>
      <c r="M143" s="400">
        <f t="shared" si="68"/>
        <v>-180000</v>
      </c>
      <c r="N143" s="400">
        <f t="shared" si="68"/>
        <v>-180000</v>
      </c>
      <c r="O143" s="400">
        <f t="shared" si="68"/>
        <v>-180000</v>
      </c>
      <c r="P143" s="400">
        <f t="shared" si="68"/>
        <v>-180000</v>
      </c>
      <c r="Q143" s="400">
        <f t="shared" si="68"/>
        <v>-180000</v>
      </c>
      <c r="R143" s="400">
        <f t="shared" si="68"/>
        <v>-180000</v>
      </c>
      <c r="S143" s="400">
        <f t="shared" si="68"/>
        <v>-180000</v>
      </c>
      <c r="T143" s="400">
        <f t="shared" si="68"/>
        <v>-180000</v>
      </c>
      <c r="U143" s="400">
        <f t="shared" si="68"/>
        <v>-180000</v>
      </c>
      <c r="V143" s="400">
        <f t="shared" si="68"/>
        <v>-180000</v>
      </c>
      <c r="W143" s="400">
        <f t="shared" si="68"/>
        <v>-180000</v>
      </c>
      <c r="X143" s="400">
        <f t="shared" si="68"/>
        <v>-180000</v>
      </c>
      <c r="Y143" s="400">
        <f t="shared" si="68"/>
        <v>-180000</v>
      </c>
      <c r="Z143" s="400">
        <f t="shared" si="68"/>
        <v>-180000</v>
      </c>
      <c r="AA143" s="400">
        <f t="shared" si="68"/>
        <v>-180000</v>
      </c>
    </row>
    <row r="144" spans="1:28" x14ac:dyDescent="0.2">
      <c r="A144" s="408"/>
      <c r="C144" s="501"/>
      <c r="D144" s="377" t="s">
        <v>315</v>
      </c>
      <c r="E144" s="391"/>
      <c r="F144" s="379">
        <f>SUM(H144:AA144)</f>
        <v>-1160000</v>
      </c>
      <c r="G144" s="379"/>
      <c r="H144" s="400">
        <f>H238</f>
        <v>-100000</v>
      </c>
      <c r="I144" s="400">
        <f>I238</f>
        <v>-100000</v>
      </c>
      <c r="J144" s="400">
        <f>J238</f>
        <v>-150000</v>
      </c>
      <c r="K144" s="400">
        <f>K238</f>
        <v>-150000</v>
      </c>
      <c r="L144" s="400">
        <v>-60000</v>
      </c>
      <c r="M144" s="400">
        <v>-60000</v>
      </c>
      <c r="N144" s="400">
        <v>-60000</v>
      </c>
      <c r="O144" s="400">
        <v>-60000</v>
      </c>
      <c r="P144" s="400">
        <v>-60000</v>
      </c>
      <c r="Q144" s="400">
        <v>-60000</v>
      </c>
      <c r="R144" s="400">
        <v>-30000</v>
      </c>
      <c r="S144" s="400">
        <v>-30000</v>
      </c>
      <c r="T144" s="400">
        <v>-30000</v>
      </c>
      <c r="U144" s="400">
        <v>-30000</v>
      </c>
      <c r="V144" s="400">
        <v>-30000</v>
      </c>
      <c r="W144" s="400">
        <v>-30000</v>
      </c>
      <c r="X144" s="400">
        <v>-30000</v>
      </c>
      <c r="Y144" s="400">
        <v>-30000</v>
      </c>
      <c r="Z144" s="400">
        <v>-30000</v>
      </c>
      <c r="AA144" s="400">
        <v>-30000</v>
      </c>
    </row>
    <row r="145" spans="1:28" x14ac:dyDescent="0.2">
      <c r="A145" s="408"/>
      <c r="C145" s="501"/>
      <c r="D145" s="377" t="s">
        <v>204</v>
      </c>
      <c r="E145" s="391"/>
      <c r="F145" s="379">
        <f>SUM(H145:AA145)</f>
        <v>-869580</v>
      </c>
      <c r="G145" s="379"/>
      <c r="H145" s="400">
        <f>$E$287*-1.5/2</f>
        <v>-43479</v>
      </c>
      <c r="I145" s="400">
        <f t="shared" ref="I145:AA145" si="69">$E$287*-1.5/2</f>
        <v>-43479</v>
      </c>
      <c r="J145" s="400">
        <f t="shared" si="69"/>
        <v>-43479</v>
      </c>
      <c r="K145" s="400">
        <f t="shared" si="69"/>
        <v>-43479</v>
      </c>
      <c r="L145" s="400">
        <f t="shared" si="69"/>
        <v>-43479</v>
      </c>
      <c r="M145" s="400">
        <f t="shared" si="69"/>
        <v>-43479</v>
      </c>
      <c r="N145" s="400">
        <f t="shared" si="69"/>
        <v>-43479</v>
      </c>
      <c r="O145" s="400">
        <f t="shared" si="69"/>
        <v>-43479</v>
      </c>
      <c r="P145" s="400">
        <f t="shared" si="69"/>
        <v>-43479</v>
      </c>
      <c r="Q145" s="400">
        <f t="shared" si="69"/>
        <v>-43479</v>
      </c>
      <c r="R145" s="400">
        <f t="shared" si="69"/>
        <v>-43479</v>
      </c>
      <c r="S145" s="400">
        <f t="shared" si="69"/>
        <v>-43479</v>
      </c>
      <c r="T145" s="400">
        <f t="shared" si="69"/>
        <v>-43479</v>
      </c>
      <c r="U145" s="400">
        <f t="shared" si="69"/>
        <v>-43479</v>
      </c>
      <c r="V145" s="400">
        <f t="shared" si="69"/>
        <v>-43479</v>
      </c>
      <c r="W145" s="400">
        <f t="shared" si="69"/>
        <v>-43479</v>
      </c>
      <c r="X145" s="400">
        <f t="shared" si="69"/>
        <v>-43479</v>
      </c>
      <c r="Y145" s="400">
        <f t="shared" si="69"/>
        <v>-43479</v>
      </c>
      <c r="Z145" s="400">
        <f t="shared" si="69"/>
        <v>-43479</v>
      </c>
      <c r="AA145" s="400">
        <f t="shared" si="69"/>
        <v>-43479</v>
      </c>
    </row>
    <row r="146" spans="1:28" x14ac:dyDescent="0.2">
      <c r="A146" s="408"/>
      <c r="C146" s="501"/>
      <c r="D146" s="377" t="s">
        <v>317</v>
      </c>
      <c r="E146" s="391"/>
      <c r="F146" s="379">
        <f>SUM(H146:AA146)</f>
        <v>-2400000</v>
      </c>
      <c r="G146" s="379"/>
      <c r="H146" s="400">
        <f>H239</f>
        <v>-120000</v>
      </c>
      <c r="I146" s="400">
        <f t="shared" ref="I146:AA146" si="70">I239</f>
        <v>-120000</v>
      </c>
      <c r="J146" s="400">
        <f t="shared" si="70"/>
        <v>-120000</v>
      </c>
      <c r="K146" s="400">
        <f t="shared" si="70"/>
        <v>-120000</v>
      </c>
      <c r="L146" s="400">
        <f t="shared" si="70"/>
        <v>-120000</v>
      </c>
      <c r="M146" s="400">
        <f t="shared" si="70"/>
        <v>-120000</v>
      </c>
      <c r="N146" s="400">
        <f t="shared" si="70"/>
        <v>-120000</v>
      </c>
      <c r="O146" s="400">
        <f t="shared" si="70"/>
        <v>-120000</v>
      </c>
      <c r="P146" s="400">
        <f t="shared" si="70"/>
        <v>-120000</v>
      </c>
      <c r="Q146" s="400">
        <f t="shared" si="70"/>
        <v>-120000</v>
      </c>
      <c r="R146" s="400">
        <f t="shared" si="70"/>
        <v>-120000</v>
      </c>
      <c r="S146" s="400">
        <f t="shared" si="70"/>
        <v>-120000</v>
      </c>
      <c r="T146" s="400">
        <f t="shared" si="70"/>
        <v>-120000</v>
      </c>
      <c r="U146" s="400">
        <f t="shared" si="70"/>
        <v>-120000</v>
      </c>
      <c r="V146" s="400">
        <f t="shared" si="70"/>
        <v>-120000</v>
      </c>
      <c r="W146" s="400">
        <f t="shared" si="70"/>
        <v>-120000</v>
      </c>
      <c r="X146" s="400">
        <f t="shared" si="70"/>
        <v>-120000</v>
      </c>
      <c r="Y146" s="400">
        <f t="shared" si="70"/>
        <v>-120000</v>
      </c>
      <c r="Z146" s="400">
        <f t="shared" si="70"/>
        <v>-120000</v>
      </c>
      <c r="AA146" s="400">
        <f t="shared" si="70"/>
        <v>-120000</v>
      </c>
    </row>
    <row r="147" spans="1:28" x14ac:dyDescent="0.2">
      <c r="A147" s="408"/>
      <c r="C147" s="501"/>
      <c r="D147" s="377" t="s">
        <v>266</v>
      </c>
      <c r="E147" s="391"/>
      <c r="F147" s="379">
        <f>SUM(H147:AA147)</f>
        <v>-1200000</v>
      </c>
      <c r="G147" s="379"/>
      <c r="H147" s="400">
        <f>H241</f>
        <v>-60000</v>
      </c>
      <c r="I147" s="400">
        <f t="shared" ref="I147:AA147" si="71">I241</f>
        <v>-60000</v>
      </c>
      <c r="J147" s="400">
        <f t="shared" si="71"/>
        <v>-60000</v>
      </c>
      <c r="K147" s="400">
        <f t="shared" si="71"/>
        <v>-60000</v>
      </c>
      <c r="L147" s="400">
        <f t="shared" si="71"/>
        <v>-60000</v>
      </c>
      <c r="M147" s="400">
        <f t="shared" si="71"/>
        <v>-60000</v>
      </c>
      <c r="N147" s="400">
        <f t="shared" si="71"/>
        <v>-60000</v>
      </c>
      <c r="O147" s="400">
        <f t="shared" si="71"/>
        <v>-60000</v>
      </c>
      <c r="P147" s="400">
        <f t="shared" si="71"/>
        <v>-60000</v>
      </c>
      <c r="Q147" s="400">
        <f t="shared" si="71"/>
        <v>-60000</v>
      </c>
      <c r="R147" s="400">
        <f t="shared" si="71"/>
        <v>-60000</v>
      </c>
      <c r="S147" s="400">
        <f t="shared" si="71"/>
        <v>-60000</v>
      </c>
      <c r="T147" s="400">
        <f t="shared" si="71"/>
        <v>-60000</v>
      </c>
      <c r="U147" s="400">
        <f t="shared" si="71"/>
        <v>-60000</v>
      </c>
      <c r="V147" s="400">
        <f t="shared" si="71"/>
        <v>-60000</v>
      </c>
      <c r="W147" s="400">
        <f t="shared" si="71"/>
        <v>-60000</v>
      </c>
      <c r="X147" s="400">
        <f t="shared" si="71"/>
        <v>-60000</v>
      </c>
      <c r="Y147" s="400">
        <f t="shared" si="71"/>
        <v>-60000</v>
      </c>
      <c r="Z147" s="400">
        <f t="shared" si="71"/>
        <v>-60000</v>
      </c>
      <c r="AA147" s="400">
        <f t="shared" si="71"/>
        <v>-60000</v>
      </c>
    </row>
    <row r="148" spans="1:28" x14ac:dyDescent="0.2">
      <c r="A148" s="408"/>
      <c r="C148" s="501"/>
      <c r="D148" s="377"/>
      <c r="E148" s="391"/>
      <c r="F148" s="379"/>
      <c r="G148" s="379"/>
      <c r="H148" s="400"/>
      <c r="I148" s="400"/>
      <c r="J148" s="400"/>
      <c r="K148" s="400"/>
      <c r="L148" s="400"/>
      <c r="M148" s="400"/>
      <c r="N148" s="400"/>
      <c r="O148" s="400"/>
      <c r="P148" s="400"/>
      <c r="Q148" s="400"/>
      <c r="R148" s="400"/>
      <c r="S148" s="400"/>
      <c r="T148" s="400"/>
      <c r="U148" s="400"/>
      <c r="V148" s="400"/>
      <c r="W148" s="400"/>
      <c r="X148" s="400"/>
      <c r="Y148" s="400"/>
      <c r="Z148" s="400"/>
      <c r="AA148" s="400"/>
    </row>
    <row r="149" spans="1:28" x14ac:dyDescent="0.2">
      <c r="A149" s="408"/>
      <c r="C149" s="503"/>
      <c r="D149" s="395" t="s">
        <v>208</v>
      </c>
      <c r="E149" s="396"/>
      <c r="F149" s="397">
        <f>SUM(G149:AA149)</f>
        <v>16068991.524999993</v>
      </c>
      <c r="G149" s="327"/>
      <c r="H149" s="328">
        <f>SUM(H142:H147)</f>
        <v>-413479</v>
      </c>
      <c r="I149" s="328">
        <f t="shared" ref="I149:AA149" si="72">SUM(I142:I147)</f>
        <v>-413479</v>
      </c>
      <c r="J149" s="328">
        <f t="shared" si="72"/>
        <v>-463479</v>
      </c>
      <c r="K149" s="328">
        <f t="shared" si="72"/>
        <v>1644215.6437499998</v>
      </c>
      <c r="L149" s="328">
        <f t="shared" si="72"/>
        <v>1939122.7875000001</v>
      </c>
      <c r="M149" s="328">
        <f t="shared" si="72"/>
        <v>2144029.9312499999</v>
      </c>
      <c r="N149" s="328">
        <f t="shared" si="72"/>
        <v>2348937.0750000002</v>
      </c>
      <c r="O149" s="328">
        <f t="shared" si="72"/>
        <v>2553844.21875</v>
      </c>
      <c r="P149" s="328">
        <f t="shared" si="72"/>
        <v>2758751.3624999998</v>
      </c>
      <c r="Q149" s="328">
        <f t="shared" si="72"/>
        <v>2963658.5062500001</v>
      </c>
      <c r="R149" s="328">
        <f t="shared" si="72"/>
        <v>3198565.65</v>
      </c>
      <c r="S149" s="328">
        <f t="shared" si="72"/>
        <v>-243521.85</v>
      </c>
      <c r="T149" s="328">
        <f t="shared" si="72"/>
        <v>-243521.85</v>
      </c>
      <c r="U149" s="328">
        <f t="shared" si="72"/>
        <v>-243521.85</v>
      </c>
      <c r="V149" s="328">
        <f t="shared" si="72"/>
        <v>-243521.85</v>
      </c>
      <c r="W149" s="328">
        <f t="shared" si="72"/>
        <v>-243521.85</v>
      </c>
      <c r="X149" s="328">
        <f t="shared" si="72"/>
        <v>-243521.85</v>
      </c>
      <c r="Y149" s="328">
        <f t="shared" si="72"/>
        <v>-243521.85</v>
      </c>
      <c r="Z149" s="328">
        <f t="shared" si="72"/>
        <v>-243521.85</v>
      </c>
      <c r="AA149" s="328">
        <f t="shared" si="72"/>
        <v>-243521.85</v>
      </c>
    </row>
    <row r="150" spans="1:28" ht="7" customHeight="1" x14ac:dyDescent="0.2">
      <c r="A150" s="408"/>
      <c r="C150" s="501"/>
      <c r="D150" s="377"/>
      <c r="E150" s="391"/>
      <c r="F150" s="379"/>
      <c r="G150" s="379"/>
      <c r="H150" s="379"/>
      <c r="I150" s="379"/>
      <c r="J150" s="379"/>
      <c r="K150" s="379"/>
      <c r="L150" s="348"/>
      <c r="M150" s="348"/>
      <c r="N150" s="348"/>
      <c r="O150" s="348"/>
      <c r="P150" s="348"/>
      <c r="Q150" s="348"/>
      <c r="R150" s="348"/>
      <c r="S150" s="348"/>
      <c r="T150" s="348"/>
      <c r="U150" s="348"/>
      <c r="V150" s="348"/>
      <c r="W150" s="348"/>
      <c r="X150" s="348"/>
      <c r="Y150" s="348"/>
      <c r="Z150" s="348"/>
      <c r="AA150" s="348"/>
    </row>
    <row r="151" spans="1:28" x14ac:dyDescent="0.2">
      <c r="A151" s="408"/>
      <c r="B151" s="408"/>
      <c r="C151" s="501"/>
      <c r="D151" s="504" t="s">
        <v>292</v>
      </c>
      <c r="E151" s="504">
        <f>+(Masterplan!C142+Masterplan!C143+Masterplan!D142+Masterplan!D143+Masterplan!E142+Masterplan!E143+Masterplan!F142+Masterplan!F143)/2</f>
        <v>0</v>
      </c>
      <c r="F151" s="504">
        <f>SUM(G151:AA151)</f>
        <v>9015026.5250000041</v>
      </c>
      <c r="G151" s="504"/>
      <c r="H151" s="505">
        <f>SUM(H132:H133)+H149</f>
        <v>-538479</v>
      </c>
      <c r="I151" s="505">
        <f t="shared" ref="I151:AA151" si="73">SUM(I132:I133)+I149</f>
        <v>-1193875.5</v>
      </c>
      <c r="J151" s="505">
        <f t="shared" si="73"/>
        <v>-2882366.75</v>
      </c>
      <c r="K151" s="505">
        <f t="shared" si="73"/>
        <v>-774672.10625000019</v>
      </c>
      <c r="L151" s="505">
        <f t="shared" si="73"/>
        <v>1611424.5375000001</v>
      </c>
      <c r="M151" s="505">
        <f t="shared" si="73"/>
        <v>1816331.6812499999</v>
      </c>
      <c r="N151" s="505">
        <f t="shared" si="73"/>
        <v>2021238.8250000002</v>
      </c>
      <c r="O151" s="505">
        <f t="shared" si="73"/>
        <v>2226145.96875</v>
      </c>
      <c r="P151" s="505">
        <f t="shared" si="73"/>
        <v>2758751.3624999998</v>
      </c>
      <c r="Q151" s="505">
        <f t="shared" si="73"/>
        <v>2963658.5062500001</v>
      </c>
      <c r="R151" s="505">
        <f t="shared" si="73"/>
        <v>3198565.65</v>
      </c>
      <c r="S151" s="505">
        <f t="shared" si="73"/>
        <v>-243521.85</v>
      </c>
      <c r="T151" s="505">
        <f t="shared" si="73"/>
        <v>-243521.85</v>
      </c>
      <c r="U151" s="505">
        <f t="shared" si="73"/>
        <v>-243521.85</v>
      </c>
      <c r="V151" s="505">
        <f t="shared" si="73"/>
        <v>-243521.85</v>
      </c>
      <c r="W151" s="505">
        <f t="shared" si="73"/>
        <v>-243521.85</v>
      </c>
      <c r="X151" s="505">
        <f t="shared" si="73"/>
        <v>-243521.85</v>
      </c>
      <c r="Y151" s="505">
        <f t="shared" si="73"/>
        <v>-243521.85</v>
      </c>
      <c r="Z151" s="505">
        <f t="shared" si="73"/>
        <v>-243521.85</v>
      </c>
      <c r="AA151" s="505">
        <f t="shared" si="73"/>
        <v>-243521.85</v>
      </c>
    </row>
    <row r="152" spans="1:28" ht="7" customHeight="1" x14ac:dyDescent="0.2">
      <c r="C152" s="371"/>
      <c r="D152" s="388"/>
      <c r="E152" s="388"/>
      <c r="F152" s="388"/>
      <c r="G152" s="371"/>
      <c r="H152" s="371"/>
      <c r="I152" s="371"/>
      <c r="J152" s="371"/>
      <c r="K152" s="371"/>
      <c r="L152" s="371"/>
      <c r="M152" s="371"/>
      <c r="N152" s="371"/>
      <c r="O152" s="371"/>
      <c r="P152" s="371"/>
      <c r="Q152" s="371"/>
      <c r="R152" s="371"/>
      <c r="S152" s="371"/>
      <c r="T152" s="371"/>
      <c r="U152" s="371"/>
      <c r="V152" s="371"/>
      <c r="W152" s="371"/>
      <c r="X152" s="371"/>
      <c r="Y152" s="371"/>
      <c r="Z152" s="371"/>
      <c r="AA152" s="371"/>
      <c r="AB152" s="37"/>
    </row>
    <row r="153" spans="1:28" s="431" customFormat="1" x14ac:dyDescent="0.2">
      <c r="D153" s="430" t="s">
        <v>353</v>
      </c>
      <c r="E153" s="262"/>
      <c r="F153" s="433">
        <f>SUM(G153:AA153)</f>
        <v>-7053965</v>
      </c>
      <c r="G153" s="432">
        <f>G132+G133</f>
        <v>0</v>
      </c>
      <c r="H153" s="432">
        <f t="shared" ref="H153:AA153" si="74">H132+H133</f>
        <v>-125000</v>
      </c>
      <c r="I153" s="432">
        <f t="shared" si="74"/>
        <v>-780396.5</v>
      </c>
      <c r="J153" s="432">
        <f t="shared" si="74"/>
        <v>-2418887.75</v>
      </c>
      <c r="K153" s="432">
        <f t="shared" si="74"/>
        <v>-2418887.75</v>
      </c>
      <c r="L153" s="432">
        <f t="shared" si="74"/>
        <v>-327698.25</v>
      </c>
      <c r="M153" s="432">
        <f t="shared" si="74"/>
        <v>-327698.25</v>
      </c>
      <c r="N153" s="432">
        <f t="shared" si="74"/>
        <v>-327698.25</v>
      </c>
      <c r="O153" s="432">
        <f t="shared" si="74"/>
        <v>-327698.25</v>
      </c>
      <c r="P153" s="432">
        <f t="shared" si="74"/>
        <v>0</v>
      </c>
      <c r="Q153" s="432">
        <f t="shared" si="74"/>
        <v>0</v>
      </c>
      <c r="R153" s="432">
        <f t="shared" si="74"/>
        <v>0</v>
      </c>
      <c r="S153" s="432">
        <f t="shared" si="74"/>
        <v>0</v>
      </c>
      <c r="T153" s="432">
        <f t="shared" si="74"/>
        <v>0</v>
      </c>
      <c r="U153" s="432">
        <f t="shared" si="74"/>
        <v>0</v>
      </c>
      <c r="V153" s="432">
        <f t="shared" si="74"/>
        <v>0</v>
      </c>
      <c r="W153" s="432">
        <f t="shared" si="74"/>
        <v>0</v>
      </c>
      <c r="X153" s="432">
        <f t="shared" si="74"/>
        <v>0</v>
      </c>
      <c r="Y153" s="432">
        <f t="shared" si="74"/>
        <v>0</v>
      </c>
      <c r="Z153" s="432">
        <f t="shared" si="74"/>
        <v>0</v>
      </c>
      <c r="AA153" s="432">
        <f t="shared" si="74"/>
        <v>0</v>
      </c>
    </row>
    <row r="154" spans="1:28" s="431" customFormat="1" x14ac:dyDescent="0.2">
      <c r="D154" s="430" t="s">
        <v>351</v>
      </c>
      <c r="E154" s="262"/>
      <c r="F154" s="433"/>
      <c r="G154" s="432">
        <f>G153</f>
        <v>0</v>
      </c>
      <c r="H154" s="432">
        <f>G154+H153</f>
        <v>-125000</v>
      </c>
      <c r="I154" s="432">
        <f t="shared" ref="I154" si="75">H154+I153</f>
        <v>-905396.5</v>
      </c>
      <c r="J154" s="432">
        <f t="shared" ref="J154" si="76">I154+J153</f>
        <v>-3324284.25</v>
      </c>
      <c r="K154" s="432">
        <f t="shared" ref="K154" si="77">J154+K153</f>
        <v>-5743172</v>
      </c>
      <c r="L154" s="432">
        <f t="shared" ref="L154" si="78">K154+L153</f>
        <v>-6070870.25</v>
      </c>
      <c r="M154" s="432">
        <f t="shared" ref="M154" si="79">L154+M153</f>
        <v>-6398568.5</v>
      </c>
      <c r="N154" s="432">
        <f t="shared" ref="N154" si="80">M154+N153</f>
        <v>-6726266.75</v>
      </c>
      <c r="O154" s="432">
        <f t="shared" ref="O154" si="81">N154+O153</f>
        <v>-7053965</v>
      </c>
      <c r="P154" s="432">
        <f t="shared" ref="P154" si="82">O154+P153</f>
        <v>-7053965</v>
      </c>
      <c r="Q154" s="432">
        <f t="shared" ref="Q154" si="83">P154+Q153</f>
        <v>-7053965</v>
      </c>
      <c r="R154" s="432">
        <f t="shared" ref="R154" si="84">Q154+R153</f>
        <v>-7053965</v>
      </c>
      <c r="S154" s="432">
        <f t="shared" ref="S154" si="85">R154+S153</f>
        <v>-7053965</v>
      </c>
      <c r="T154" s="432">
        <f t="shared" ref="T154" si="86">S154+T153</f>
        <v>-7053965</v>
      </c>
      <c r="U154" s="432">
        <f t="shared" ref="U154" si="87">T154+U153</f>
        <v>-7053965</v>
      </c>
      <c r="V154" s="432">
        <f t="shared" ref="V154" si="88">U154+V153</f>
        <v>-7053965</v>
      </c>
      <c r="W154" s="432">
        <f t="shared" ref="W154" si="89">V154+W153</f>
        <v>-7053965</v>
      </c>
      <c r="X154" s="432">
        <f t="shared" ref="X154" si="90">W154+X153</f>
        <v>-7053965</v>
      </c>
      <c r="Y154" s="432">
        <f t="shared" ref="Y154" si="91">X154+Y153</f>
        <v>-7053965</v>
      </c>
      <c r="Z154" s="432">
        <f t="shared" ref="Z154" si="92">Y154+Z153</f>
        <v>-7053965</v>
      </c>
      <c r="AA154" s="432">
        <f t="shared" ref="AA154" si="93">Z154+AA153</f>
        <v>-7053965</v>
      </c>
    </row>
    <row r="155" spans="1:28" ht="7" customHeight="1" x14ac:dyDescent="0.2">
      <c r="C155" s="371"/>
      <c r="D155" s="388"/>
      <c r="E155" s="388"/>
      <c r="F155" s="388"/>
      <c r="G155" s="371"/>
      <c r="H155" s="371"/>
      <c r="I155" s="371"/>
      <c r="J155" s="371"/>
      <c r="K155" s="371"/>
      <c r="L155" s="371"/>
      <c r="M155" s="371"/>
      <c r="N155" s="371"/>
      <c r="O155" s="371"/>
      <c r="P155" s="371"/>
      <c r="Q155" s="371"/>
      <c r="R155" s="371"/>
      <c r="S155" s="371"/>
      <c r="T155" s="371"/>
      <c r="U155" s="371"/>
      <c r="V155" s="371"/>
      <c r="W155" s="371"/>
      <c r="X155" s="371"/>
      <c r="Y155" s="371"/>
      <c r="Z155" s="371"/>
      <c r="AA155" s="371"/>
      <c r="AB155" s="37"/>
    </row>
    <row r="156" spans="1:28" s="428" customFormat="1" x14ac:dyDescent="0.2">
      <c r="A156" s="472"/>
      <c r="D156" s="425" t="s">
        <v>327</v>
      </c>
      <c r="E156" s="436">
        <v>0.02</v>
      </c>
      <c r="F156" s="425">
        <f>SUM(G156:AA156)</f>
        <v>-1692951.6000000003</v>
      </c>
      <c r="G156" s="425"/>
      <c r="H156" s="426">
        <v>0</v>
      </c>
      <c r="I156" s="426">
        <v>0</v>
      </c>
      <c r="J156" s="426">
        <v>0</v>
      </c>
      <c r="K156" s="426">
        <v>0</v>
      </c>
      <c r="L156" s="426">
        <v>0</v>
      </c>
      <c r="M156" s="426">
        <v>0</v>
      </c>
      <c r="N156" s="426">
        <v>0</v>
      </c>
      <c r="O156" s="426">
        <v>0</v>
      </c>
      <c r="P156" s="426">
        <f>SUM($H$132:$O$133)*$E$156</f>
        <v>-141079.30000000002</v>
      </c>
      <c r="Q156" s="426">
        <f t="shared" ref="Q156:AA156" si="94">SUM($H$132:$O$133)*$E$156</f>
        <v>-141079.30000000002</v>
      </c>
      <c r="R156" s="426">
        <f t="shared" si="94"/>
        <v>-141079.30000000002</v>
      </c>
      <c r="S156" s="426">
        <f t="shared" si="94"/>
        <v>-141079.30000000002</v>
      </c>
      <c r="T156" s="426">
        <f t="shared" si="94"/>
        <v>-141079.30000000002</v>
      </c>
      <c r="U156" s="426">
        <f t="shared" si="94"/>
        <v>-141079.30000000002</v>
      </c>
      <c r="V156" s="426">
        <f t="shared" si="94"/>
        <v>-141079.30000000002</v>
      </c>
      <c r="W156" s="426">
        <f t="shared" si="94"/>
        <v>-141079.30000000002</v>
      </c>
      <c r="X156" s="426">
        <f t="shared" si="94"/>
        <v>-141079.30000000002</v>
      </c>
      <c r="Y156" s="426">
        <f t="shared" si="94"/>
        <v>-141079.30000000002</v>
      </c>
      <c r="Z156" s="426">
        <f t="shared" si="94"/>
        <v>-141079.30000000002</v>
      </c>
      <c r="AA156" s="426">
        <f t="shared" si="94"/>
        <v>-141079.30000000002</v>
      </c>
      <c r="AB156" s="427"/>
    </row>
    <row r="157" spans="1:28" ht="7" customHeight="1" x14ac:dyDescent="0.2">
      <c r="C157" s="371"/>
      <c r="D157" s="388"/>
      <c r="E157" s="388"/>
      <c r="F157" s="388"/>
      <c r="G157" s="371"/>
      <c r="H157" s="371"/>
      <c r="I157" s="371"/>
      <c r="J157" s="371"/>
      <c r="K157" s="371"/>
      <c r="L157" s="371"/>
      <c r="M157" s="371"/>
      <c r="N157" s="371"/>
      <c r="O157" s="371"/>
      <c r="P157" s="371"/>
      <c r="Q157" s="371"/>
      <c r="R157" s="371"/>
      <c r="S157" s="371"/>
      <c r="T157" s="371"/>
      <c r="U157" s="371"/>
      <c r="V157" s="371"/>
      <c r="W157" s="371"/>
      <c r="X157" s="371"/>
      <c r="Y157" s="371"/>
      <c r="Z157" s="371"/>
      <c r="AA157" s="371"/>
      <c r="AB157" s="37"/>
    </row>
    <row r="158" spans="1:28" s="365" customFormat="1" collapsed="1" x14ac:dyDescent="0.2">
      <c r="A158" s="480"/>
      <c r="B158" s="367"/>
      <c r="D158" s="364" t="s">
        <v>231</v>
      </c>
    </row>
    <row r="159" spans="1:28" ht="7" customHeight="1" x14ac:dyDescent="0.2">
      <c r="A159" s="408"/>
      <c r="C159" s="371"/>
      <c r="D159" s="388"/>
      <c r="E159" s="388"/>
      <c r="F159" s="388"/>
      <c r="G159" s="371"/>
      <c r="H159" s="371"/>
      <c r="I159" s="371"/>
      <c r="J159" s="371"/>
      <c r="K159" s="371"/>
      <c r="L159" s="371"/>
      <c r="M159" s="371"/>
      <c r="N159" s="371"/>
      <c r="O159" s="371"/>
      <c r="P159" s="371"/>
      <c r="Q159" s="371"/>
      <c r="R159" s="371"/>
      <c r="S159" s="371"/>
      <c r="T159" s="371"/>
      <c r="U159" s="371"/>
      <c r="V159" s="371"/>
      <c r="W159" s="371"/>
      <c r="X159" s="371"/>
      <c r="Y159" s="371"/>
      <c r="Z159" s="371"/>
      <c r="AA159" s="371"/>
      <c r="AB159" s="37"/>
    </row>
    <row r="160" spans="1:28" x14ac:dyDescent="0.2">
      <c r="A160" s="408"/>
      <c r="C160" s="499" t="s">
        <v>305</v>
      </c>
      <c r="D160" s="423" t="s">
        <v>8</v>
      </c>
      <c r="E160" s="509"/>
      <c r="F160" s="509"/>
      <c r="G160" s="509"/>
      <c r="H160" s="509"/>
      <c r="I160" s="509"/>
      <c r="J160" s="509"/>
      <c r="K160" s="509"/>
      <c r="L160" s="509"/>
      <c r="M160" s="509"/>
      <c r="N160" s="509"/>
      <c r="O160" s="509"/>
      <c r="P160" s="509"/>
      <c r="Q160" s="509"/>
      <c r="R160" s="509"/>
      <c r="S160" s="509"/>
      <c r="T160" s="509"/>
      <c r="U160" s="509"/>
      <c r="V160" s="509"/>
      <c r="W160" s="509"/>
      <c r="X160" s="509"/>
      <c r="Y160" s="509"/>
      <c r="Z160" s="509"/>
      <c r="AA160" s="509"/>
    </row>
    <row r="161" spans="1:40" ht="7" customHeight="1" x14ac:dyDescent="0.2">
      <c r="A161" s="408"/>
      <c r="C161" s="500"/>
      <c r="D161" s="377"/>
      <c r="E161" s="378"/>
      <c r="F161" s="404"/>
      <c r="G161" s="379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</row>
    <row r="162" spans="1:40" hidden="1" outlineLevel="1" x14ac:dyDescent="0.2">
      <c r="A162" s="408"/>
      <c r="C162" s="501"/>
      <c r="D162" s="377" t="s">
        <v>320</v>
      </c>
      <c r="E162" s="402">
        <v>0.21</v>
      </c>
      <c r="F162" s="388"/>
      <c r="G162" s="379"/>
      <c r="H162" s="400">
        <f>H245</f>
        <v>-233370.74249999999</v>
      </c>
      <c r="I162" s="400">
        <f t="shared" ref="I162:AA162" si="95">I245</f>
        <v>-416599.20749999996</v>
      </c>
      <c r="J162" s="400">
        <f t="shared" si="95"/>
        <v>-858738.19499999995</v>
      </c>
      <c r="K162" s="400">
        <f t="shared" si="95"/>
        <v>-751823.83499999996</v>
      </c>
      <c r="L162" s="400">
        <f t="shared" si="95"/>
        <v>-106616.63249999999</v>
      </c>
      <c r="M162" s="400">
        <f t="shared" si="95"/>
        <v>-106616.63249999999</v>
      </c>
      <c r="N162" s="400">
        <f t="shared" si="95"/>
        <v>-350550.95250000001</v>
      </c>
      <c r="O162" s="400">
        <f t="shared" si="95"/>
        <v>-350550.95250000001</v>
      </c>
      <c r="P162" s="400">
        <f t="shared" si="95"/>
        <v>-37800</v>
      </c>
      <c r="Q162" s="400">
        <f t="shared" si="95"/>
        <v>-37800</v>
      </c>
      <c r="R162" s="400">
        <f t="shared" si="95"/>
        <v>-37800</v>
      </c>
      <c r="S162" s="400">
        <f t="shared" si="95"/>
        <v>-37800</v>
      </c>
      <c r="T162" s="400">
        <f t="shared" si="95"/>
        <v>-37800</v>
      </c>
      <c r="U162" s="400">
        <f t="shared" si="95"/>
        <v>-37800</v>
      </c>
      <c r="V162" s="400">
        <f t="shared" si="95"/>
        <v>-37800</v>
      </c>
      <c r="W162" s="400">
        <f t="shared" si="95"/>
        <v>-37800</v>
      </c>
      <c r="X162" s="400">
        <f t="shared" si="95"/>
        <v>-37800</v>
      </c>
      <c r="Y162" s="400">
        <f t="shared" si="95"/>
        <v>-37800</v>
      </c>
      <c r="Z162" s="400">
        <f t="shared" si="95"/>
        <v>-37800</v>
      </c>
      <c r="AA162" s="400">
        <f t="shared" si="95"/>
        <v>-37800</v>
      </c>
    </row>
    <row r="163" spans="1:40" hidden="1" outlineLevel="1" x14ac:dyDescent="0.2">
      <c r="A163" s="408"/>
      <c r="C163" s="500"/>
      <c r="D163" s="377" t="s">
        <v>319</v>
      </c>
      <c r="E163" s="402">
        <v>0.21</v>
      </c>
      <c r="F163" s="388"/>
      <c r="G163" s="388"/>
      <c r="H163" s="400">
        <f>H246</f>
        <v>-193373.74601999999</v>
      </c>
      <c r="I163" s="400">
        <f t="shared" ref="I163:AA163" si="96">I246</f>
        <v>-193373.74601999999</v>
      </c>
      <c r="J163" s="400">
        <f t="shared" si="96"/>
        <v>-193373.74601999999</v>
      </c>
      <c r="K163" s="400">
        <f t="shared" si="96"/>
        <v>-160329.9663</v>
      </c>
      <c r="L163" s="400">
        <f t="shared" si="96"/>
        <v>106466.86996488911</v>
      </c>
      <c r="M163" s="400">
        <f t="shared" si="96"/>
        <v>115277.17634835582</v>
      </c>
      <c r="N163" s="400">
        <f t="shared" si="96"/>
        <v>-119885.37359266634</v>
      </c>
      <c r="O163" s="400">
        <f t="shared" si="96"/>
        <v>-111390.02785817746</v>
      </c>
      <c r="P163" s="400">
        <f t="shared" si="96"/>
        <v>148500.75114712486</v>
      </c>
      <c r="Q163" s="400">
        <f t="shared" si="96"/>
        <v>152155.30048761374</v>
      </c>
      <c r="R163" s="400">
        <f t="shared" si="96"/>
        <v>161136.69868564332</v>
      </c>
      <c r="S163" s="400">
        <f t="shared" si="96"/>
        <v>161294.17901013221</v>
      </c>
      <c r="T163" s="400">
        <f t="shared" si="96"/>
        <v>165706.13794690254</v>
      </c>
      <c r="U163" s="400">
        <f t="shared" si="96"/>
        <v>165863.61827139146</v>
      </c>
      <c r="V163" s="400">
        <f t="shared" si="96"/>
        <v>170275.57720816182</v>
      </c>
      <c r="W163" s="400">
        <f t="shared" si="96"/>
        <v>174049.07054865072</v>
      </c>
      <c r="X163" s="400">
        <f t="shared" si="96"/>
        <v>207780.72548542102</v>
      </c>
      <c r="Y163" s="400">
        <f t="shared" si="96"/>
        <v>207938.20580990994</v>
      </c>
      <c r="Z163" s="400">
        <f t="shared" si="96"/>
        <v>212885.41274668029</v>
      </c>
      <c r="AA163" s="400">
        <f t="shared" si="96"/>
        <v>213042.89307116918</v>
      </c>
    </row>
    <row r="164" spans="1:40" hidden="1" outlineLevel="1" x14ac:dyDescent="0.2">
      <c r="A164" s="408"/>
      <c r="C164" s="502"/>
      <c r="D164" s="386" t="s">
        <v>4</v>
      </c>
      <c r="E164" s="393"/>
      <c r="F164" s="508"/>
      <c r="G164" s="422"/>
      <c r="H164" s="439">
        <f>H249</f>
        <v>-426744.48852000001</v>
      </c>
      <c r="I164" s="439">
        <f t="shared" ref="I164:AA164" si="97">I249</f>
        <v>-609972.95351999998</v>
      </c>
      <c r="J164" s="439">
        <f t="shared" si="97"/>
        <v>-1052111.94102</v>
      </c>
      <c r="K164" s="439">
        <f t="shared" si="97"/>
        <v>-912153.80129999993</v>
      </c>
      <c r="L164" s="439">
        <f t="shared" si="97"/>
        <v>-149.76253511088726</v>
      </c>
      <c r="M164" s="439">
        <f t="shared" si="97"/>
        <v>8660.5438483558246</v>
      </c>
      <c r="N164" s="439">
        <f t="shared" si="97"/>
        <v>-470436.32609266636</v>
      </c>
      <c r="O164" s="439">
        <f t="shared" si="97"/>
        <v>-461940.98035817745</v>
      </c>
      <c r="P164" s="439">
        <f t="shared" si="97"/>
        <v>110700.75114712486</v>
      </c>
      <c r="Q164" s="439">
        <f t="shared" si="97"/>
        <v>114355.30048761374</v>
      </c>
      <c r="R164" s="439">
        <f t="shared" si="97"/>
        <v>123336.69868564332</v>
      </c>
      <c r="S164" s="439">
        <f t="shared" si="97"/>
        <v>123494.17901013221</v>
      </c>
      <c r="T164" s="439">
        <f t="shared" si="97"/>
        <v>127906.13794690254</v>
      </c>
      <c r="U164" s="439">
        <f t="shared" si="97"/>
        <v>128063.61827139146</v>
      </c>
      <c r="V164" s="439">
        <f t="shared" si="97"/>
        <v>132475.57720816182</v>
      </c>
      <c r="W164" s="439">
        <f t="shared" si="97"/>
        <v>136249.07054865072</v>
      </c>
      <c r="X164" s="439">
        <f t="shared" si="97"/>
        <v>169980.72548542102</v>
      </c>
      <c r="Y164" s="439">
        <f t="shared" si="97"/>
        <v>170138.20580990994</v>
      </c>
      <c r="Z164" s="439">
        <f t="shared" si="97"/>
        <v>175085.41274668029</v>
      </c>
      <c r="AA164" s="439">
        <f t="shared" si="97"/>
        <v>175242.89307116918</v>
      </c>
    </row>
    <row r="165" spans="1:40" hidden="1" outlineLevel="1" x14ac:dyDescent="0.2">
      <c r="A165" s="408"/>
      <c r="C165" s="502"/>
      <c r="D165" s="416" t="s">
        <v>6</v>
      </c>
      <c r="E165" s="391"/>
      <c r="F165" s="392"/>
      <c r="G165" s="420"/>
      <c r="H165" s="432">
        <f>H164</f>
        <v>-426744.48852000001</v>
      </c>
      <c r="I165" s="432">
        <f>H165+I164</f>
        <v>-1036717.44204</v>
      </c>
      <c r="J165" s="432">
        <f t="shared" ref="J165:AA165" si="98">I165+J164</f>
        <v>-2088829.3830599999</v>
      </c>
      <c r="K165" s="432">
        <f t="shared" si="98"/>
        <v>-3000983.1843599998</v>
      </c>
      <c r="L165" s="432">
        <f t="shared" si="98"/>
        <v>-3001132.9468951109</v>
      </c>
      <c r="M165" s="432">
        <f t="shared" si="98"/>
        <v>-2992472.4030467551</v>
      </c>
      <c r="N165" s="432">
        <f t="shared" si="98"/>
        <v>-3462908.7291394216</v>
      </c>
      <c r="O165" s="432">
        <f t="shared" si="98"/>
        <v>-3924849.7094975989</v>
      </c>
      <c r="P165" s="432">
        <f t="shared" si="98"/>
        <v>-3814148.958350474</v>
      </c>
      <c r="Q165" s="432">
        <f t="shared" si="98"/>
        <v>-3699793.6578628602</v>
      </c>
      <c r="R165" s="432">
        <f t="shared" si="98"/>
        <v>-3576456.959177217</v>
      </c>
      <c r="S165" s="432">
        <f t="shared" si="98"/>
        <v>-3452962.7801670847</v>
      </c>
      <c r="T165" s="432">
        <f t="shared" si="98"/>
        <v>-3325056.6422201823</v>
      </c>
      <c r="U165" s="432">
        <f t="shared" si="98"/>
        <v>-3196993.023948791</v>
      </c>
      <c r="V165" s="432">
        <f t="shared" si="98"/>
        <v>-3064517.4467406292</v>
      </c>
      <c r="W165" s="432">
        <f t="shared" si="98"/>
        <v>-2928268.3761919783</v>
      </c>
      <c r="X165" s="432">
        <f t="shared" si="98"/>
        <v>-2758287.6507065576</v>
      </c>
      <c r="Y165" s="432">
        <f t="shared" si="98"/>
        <v>-2588149.4448966477</v>
      </c>
      <c r="Z165" s="432">
        <f t="shared" si="98"/>
        <v>-2413064.0321499673</v>
      </c>
      <c r="AA165" s="432">
        <f t="shared" si="98"/>
        <v>-2237821.1390787982</v>
      </c>
    </row>
    <row r="166" spans="1:40" ht="7" hidden="1" customHeight="1" outlineLevel="1" x14ac:dyDescent="0.2">
      <c r="A166" s="408"/>
      <c r="C166" s="502"/>
      <c r="D166" s="416"/>
      <c r="E166" s="391"/>
      <c r="F166" s="392"/>
      <c r="G166" s="420"/>
      <c r="H166" s="400"/>
      <c r="I166" s="400"/>
      <c r="J166" s="400"/>
      <c r="K166" s="400"/>
      <c r="L166" s="400"/>
      <c r="M166" s="400"/>
      <c r="N166" s="400"/>
      <c r="O166" s="400"/>
      <c r="P166" s="400"/>
      <c r="Q166" s="400"/>
      <c r="R166" s="400"/>
      <c r="S166" s="400"/>
      <c r="T166" s="400"/>
      <c r="U166" s="400"/>
      <c r="V166" s="400"/>
      <c r="W166" s="400"/>
      <c r="X166" s="400"/>
      <c r="Y166" s="400"/>
      <c r="Z166" s="400"/>
      <c r="AA166" s="400"/>
    </row>
    <row r="167" spans="1:40" hidden="1" outlineLevel="1" x14ac:dyDescent="0.2">
      <c r="A167" s="408"/>
      <c r="C167" s="502"/>
      <c r="D167" s="395" t="s">
        <v>321</v>
      </c>
      <c r="E167" s="510"/>
      <c r="F167" s="511"/>
      <c r="G167" s="511"/>
      <c r="H167" s="413">
        <f>IF(H164&lt;0,H164,0)</f>
        <v>-426744.48852000001</v>
      </c>
      <c r="I167" s="413">
        <f t="shared" ref="I167:AA167" si="99">IF(I164&lt;0,I164,0)</f>
        <v>-609972.95351999998</v>
      </c>
      <c r="J167" s="413">
        <f t="shared" si="99"/>
        <v>-1052111.94102</v>
      </c>
      <c r="K167" s="413">
        <f t="shared" si="99"/>
        <v>-912153.80129999993</v>
      </c>
      <c r="L167" s="413">
        <f t="shared" si="99"/>
        <v>-149.76253511088726</v>
      </c>
      <c r="M167" s="413">
        <f t="shared" si="99"/>
        <v>0</v>
      </c>
      <c r="N167" s="413">
        <f t="shared" si="99"/>
        <v>-470436.32609266636</v>
      </c>
      <c r="O167" s="413">
        <f t="shared" si="99"/>
        <v>-461940.98035817745</v>
      </c>
      <c r="P167" s="413">
        <f t="shared" si="99"/>
        <v>0</v>
      </c>
      <c r="Q167" s="413">
        <f t="shared" si="99"/>
        <v>0</v>
      </c>
      <c r="R167" s="413">
        <f t="shared" si="99"/>
        <v>0</v>
      </c>
      <c r="S167" s="413">
        <f t="shared" si="99"/>
        <v>0</v>
      </c>
      <c r="T167" s="413">
        <f t="shared" si="99"/>
        <v>0</v>
      </c>
      <c r="U167" s="413">
        <f t="shared" si="99"/>
        <v>0</v>
      </c>
      <c r="V167" s="413">
        <f t="shared" si="99"/>
        <v>0</v>
      </c>
      <c r="W167" s="413">
        <f t="shared" si="99"/>
        <v>0</v>
      </c>
      <c r="X167" s="413">
        <f t="shared" si="99"/>
        <v>0</v>
      </c>
      <c r="Y167" s="413">
        <f t="shared" si="99"/>
        <v>0</v>
      </c>
      <c r="Z167" s="413">
        <f t="shared" si="99"/>
        <v>0</v>
      </c>
      <c r="AA167" s="413">
        <f t="shared" si="99"/>
        <v>0</v>
      </c>
      <c r="AB167" s="417"/>
    </row>
    <row r="168" spans="1:40" ht="7" hidden="1" customHeight="1" outlineLevel="1" x14ac:dyDescent="0.2">
      <c r="A168" s="408"/>
      <c r="C168" s="502"/>
      <c r="D168" s="416"/>
      <c r="E168" s="391"/>
      <c r="F168" s="417"/>
      <c r="G168" s="418"/>
      <c r="H168" s="418"/>
      <c r="I168" s="418"/>
      <c r="J168" s="418"/>
      <c r="K168" s="418"/>
      <c r="L168" s="418"/>
      <c r="M168" s="418"/>
      <c r="N168" s="418"/>
      <c r="O168" s="418"/>
      <c r="P168" s="418"/>
      <c r="Q168" s="418"/>
      <c r="R168" s="418"/>
      <c r="S168" s="418"/>
      <c r="T168" s="418"/>
      <c r="U168" s="418"/>
      <c r="V168" s="418"/>
      <c r="W168" s="418"/>
      <c r="X168" s="418"/>
      <c r="Y168" s="418"/>
      <c r="Z168" s="418"/>
      <c r="AA168" s="418"/>
    </row>
    <row r="169" spans="1:40" hidden="1" outlineLevel="1" x14ac:dyDescent="0.2">
      <c r="A169" s="408"/>
      <c r="C169" s="502"/>
      <c r="D169" s="377" t="s">
        <v>322</v>
      </c>
      <c r="E169" s="391"/>
      <c r="F169" s="507"/>
      <c r="G169" s="420"/>
      <c r="H169" s="415"/>
      <c r="I169" s="415"/>
      <c r="J169" s="415"/>
      <c r="K169" s="506"/>
      <c r="L169" s="506"/>
      <c r="M169" s="506"/>
      <c r="N169" s="506"/>
      <c r="O169" s="506"/>
      <c r="P169" s="506"/>
      <c r="Q169" s="506"/>
      <c r="R169" s="506"/>
      <c r="S169" s="415"/>
      <c r="T169" s="415"/>
      <c r="U169" s="415"/>
      <c r="V169" s="415"/>
      <c r="W169" s="415"/>
      <c r="X169" s="415"/>
      <c r="Y169" s="415"/>
      <c r="Z169" s="415"/>
      <c r="AA169" s="415"/>
    </row>
    <row r="170" spans="1:40" ht="7" hidden="1" customHeight="1" outlineLevel="1" x14ac:dyDescent="0.2">
      <c r="A170" s="475"/>
      <c r="B170" s="367"/>
      <c r="C170" s="501"/>
      <c r="D170" s="377"/>
      <c r="E170" s="391"/>
      <c r="F170" s="379"/>
      <c r="G170" s="379"/>
      <c r="H170" s="400"/>
      <c r="I170" s="400"/>
      <c r="J170" s="400"/>
      <c r="K170" s="400"/>
      <c r="L170" s="400"/>
      <c r="M170" s="400"/>
      <c r="N170" s="400"/>
      <c r="O170" s="400"/>
      <c r="P170" s="400"/>
      <c r="Q170" s="400"/>
      <c r="R170" s="400"/>
      <c r="S170" s="400"/>
      <c r="T170" s="400"/>
      <c r="U170" s="400"/>
      <c r="V170" s="400"/>
      <c r="W170" s="400"/>
      <c r="X170" s="400"/>
      <c r="Y170" s="400"/>
      <c r="Z170" s="400"/>
      <c r="AA170" s="400"/>
      <c r="AB170" s="367"/>
      <c r="AC170" s="367"/>
      <c r="AD170" s="367"/>
      <c r="AE170" s="367"/>
      <c r="AF170" s="367"/>
      <c r="AG170" s="367"/>
      <c r="AH170" s="367"/>
      <c r="AI170" s="371"/>
      <c r="AJ170" s="371"/>
      <c r="AK170" s="371"/>
      <c r="AL170" s="371"/>
      <c r="AM170" s="371"/>
      <c r="AN170" s="371"/>
    </row>
    <row r="171" spans="1:40" collapsed="1" x14ac:dyDescent="0.2">
      <c r="A171" s="408"/>
      <c r="C171" s="501"/>
      <c r="D171" s="512" t="s">
        <v>323</v>
      </c>
      <c r="E171" s="514"/>
      <c r="F171" s="504"/>
      <c r="G171" s="504"/>
      <c r="H171" s="513">
        <f>H167+H169</f>
        <v>-426744.48852000001</v>
      </c>
      <c r="I171" s="513">
        <f t="shared" ref="I171:AA171" si="100">I167+I169</f>
        <v>-609972.95351999998</v>
      </c>
      <c r="J171" s="513">
        <f t="shared" si="100"/>
        <v>-1052111.94102</v>
      </c>
      <c r="K171" s="513">
        <f t="shared" si="100"/>
        <v>-912153.80129999993</v>
      </c>
      <c r="L171" s="513">
        <f t="shared" si="100"/>
        <v>-149.76253511088726</v>
      </c>
      <c r="M171" s="513">
        <f t="shared" si="100"/>
        <v>0</v>
      </c>
      <c r="N171" s="513">
        <f t="shared" si="100"/>
        <v>-470436.32609266636</v>
      </c>
      <c r="O171" s="513">
        <f t="shared" si="100"/>
        <v>-461940.98035817745</v>
      </c>
      <c r="P171" s="513">
        <f t="shared" si="100"/>
        <v>0</v>
      </c>
      <c r="Q171" s="513">
        <f t="shared" si="100"/>
        <v>0</v>
      </c>
      <c r="R171" s="513">
        <f t="shared" si="100"/>
        <v>0</v>
      </c>
      <c r="S171" s="513">
        <f t="shared" si="100"/>
        <v>0</v>
      </c>
      <c r="T171" s="513">
        <f t="shared" si="100"/>
        <v>0</v>
      </c>
      <c r="U171" s="513">
        <f t="shared" si="100"/>
        <v>0</v>
      </c>
      <c r="V171" s="513">
        <f t="shared" si="100"/>
        <v>0</v>
      </c>
      <c r="W171" s="513">
        <f t="shared" si="100"/>
        <v>0</v>
      </c>
      <c r="X171" s="513">
        <f t="shared" si="100"/>
        <v>0</v>
      </c>
      <c r="Y171" s="513">
        <f t="shared" si="100"/>
        <v>0</v>
      </c>
      <c r="Z171" s="513">
        <f t="shared" si="100"/>
        <v>0</v>
      </c>
      <c r="AA171" s="513">
        <f t="shared" si="100"/>
        <v>0</v>
      </c>
    </row>
    <row r="172" spans="1:40" ht="7" customHeight="1" x14ac:dyDescent="0.2">
      <c r="A172" s="408"/>
      <c r="C172" s="388"/>
      <c r="D172" s="386"/>
      <c r="E172" s="393"/>
      <c r="F172" s="419"/>
      <c r="G172" s="388"/>
      <c r="H172" s="412"/>
      <c r="I172" s="412"/>
      <c r="J172" s="412"/>
      <c r="K172" s="412"/>
      <c r="L172" s="412"/>
      <c r="M172" s="412"/>
      <c r="N172" s="412"/>
      <c r="O172" s="412"/>
      <c r="P172" s="412"/>
      <c r="Q172" s="412"/>
      <c r="R172" s="412"/>
      <c r="S172" s="412"/>
      <c r="T172" s="412"/>
      <c r="U172" s="412"/>
      <c r="V172" s="412"/>
      <c r="W172" s="412"/>
      <c r="X172" s="412"/>
      <c r="Y172" s="412"/>
      <c r="Z172" s="412"/>
      <c r="AA172" s="412"/>
    </row>
    <row r="173" spans="1:40" s="41" customFormat="1" x14ac:dyDescent="0.2">
      <c r="A173" s="529"/>
      <c r="C173" s="64" t="s">
        <v>306</v>
      </c>
      <c r="D173" s="423" t="s">
        <v>324</v>
      </c>
      <c r="E173" s="509"/>
      <c r="F173" s="509"/>
      <c r="G173" s="509"/>
      <c r="H173" s="509"/>
      <c r="I173" s="509"/>
      <c r="J173" s="509"/>
      <c r="K173" s="509"/>
      <c r="L173" s="509"/>
      <c r="M173" s="509"/>
      <c r="N173" s="509"/>
      <c r="O173" s="509"/>
      <c r="P173" s="509"/>
      <c r="Q173" s="509"/>
      <c r="R173" s="509"/>
      <c r="S173" s="509"/>
      <c r="T173" s="509"/>
      <c r="U173" s="509"/>
      <c r="V173" s="509"/>
      <c r="W173" s="509"/>
      <c r="X173" s="509"/>
      <c r="Y173" s="509"/>
      <c r="Z173" s="509"/>
      <c r="AA173" s="509"/>
    </row>
    <row r="174" spans="1:40" ht="7" customHeight="1" x14ac:dyDescent="0.2">
      <c r="A174" s="408"/>
      <c r="C174" s="428"/>
      <c r="D174" s="377"/>
      <c r="E174" s="378"/>
      <c r="F174" s="404"/>
      <c r="G174" s="379"/>
      <c r="H174" s="380"/>
      <c r="I174" s="380"/>
      <c r="J174" s="380"/>
      <c r="K174" s="380"/>
      <c r="L174" s="380"/>
      <c r="M174" s="380"/>
      <c r="N174" s="380"/>
      <c r="O174" s="380"/>
      <c r="P174" s="380"/>
      <c r="Q174" s="380"/>
      <c r="R174" s="380"/>
      <c r="S174" s="380"/>
      <c r="T174" s="380"/>
      <c r="U174" s="380"/>
      <c r="V174" s="380"/>
      <c r="W174" s="380"/>
      <c r="X174" s="380"/>
      <c r="Y174" s="380"/>
      <c r="Z174" s="380"/>
      <c r="AA174" s="380"/>
    </row>
    <row r="175" spans="1:40" hidden="1" outlineLevel="1" x14ac:dyDescent="0.2">
      <c r="A175" s="408"/>
      <c r="C175" s="428"/>
      <c r="D175" s="377" t="s">
        <v>325</v>
      </c>
      <c r="E175" s="424" t="s">
        <v>326</v>
      </c>
      <c r="F175" s="388"/>
      <c r="G175" s="379"/>
      <c r="H175" s="400"/>
      <c r="I175" s="400">
        <f>EERR!C139</f>
        <v>-1239282.1315148617</v>
      </c>
      <c r="J175" s="400"/>
      <c r="K175" s="400">
        <f>EERR!D139</f>
        <v>606337.28226191842</v>
      </c>
      <c r="L175" s="400"/>
      <c r="M175" s="400">
        <f>EERR!E139</f>
        <v>4339994.4607564565</v>
      </c>
      <c r="N175" s="400"/>
      <c r="O175" s="400">
        <f>EERR!F139</f>
        <v>11529284.699508972</v>
      </c>
      <c r="P175" s="400"/>
      <c r="Q175" s="400">
        <f>EERR!G139</f>
        <v>12900342.766467571</v>
      </c>
      <c r="R175" s="400"/>
      <c r="S175" s="400">
        <f>EERR!H139</f>
        <v>3985160.034596202</v>
      </c>
      <c r="T175" s="400"/>
      <c r="U175" s="400">
        <f>EERR!I139</f>
        <v>583343.05559620203</v>
      </c>
      <c r="V175" s="400"/>
      <c r="W175" s="400">
        <f>EERR!J139</f>
        <v>640832.6861962023</v>
      </c>
      <c r="X175" s="400"/>
      <c r="Y175" s="400">
        <f>EERR!K139</f>
        <v>976707.91679620196</v>
      </c>
      <c r="Z175" s="400"/>
      <c r="AA175" s="400">
        <f>EERR!L139</f>
        <v>1021226.4377962017</v>
      </c>
    </row>
    <row r="176" spans="1:40" hidden="1" outlineLevel="1" x14ac:dyDescent="0.2">
      <c r="A176" s="408"/>
      <c r="C176" s="428"/>
      <c r="D176" s="377" t="s">
        <v>324</v>
      </c>
      <c r="E176" s="402">
        <v>0.35</v>
      </c>
      <c r="F176" s="388"/>
      <c r="G176" s="388"/>
      <c r="H176" s="400">
        <f>H175*-$E$176</f>
        <v>0</v>
      </c>
      <c r="I176" s="400">
        <f t="shared" ref="I176:AA176" si="101">I175*-$E$176</f>
        <v>433748.74603020155</v>
      </c>
      <c r="J176" s="400">
        <f t="shared" si="101"/>
        <v>0</v>
      </c>
      <c r="K176" s="400">
        <f t="shared" si="101"/>
        <v>-212218.04879167143</v>
      </c>
      <c r="L176" s="400">
        <f t="shared" si="101"/>
        <v>0</v>
      </c>
      <c r="M176" s="400">
        <f t="shared" si="101"/>
        <v>-1518998.0612647596</v>
      </c>
      <c r="N176" s="400">
        <f t="shared" si="101"/>
        <v>0</v>
      </c>
      <c r="O176" s="400">
        <f t="shared" si="101"/>
        <v>-4035249.6448281403</v>
      </c>
      <c r="P176" s="400">
        <f t="shared" si="101"/>
        <v>0</v>
      </c>
      <c r="Q176" s="400">
        <f t="shared" si="101"/>
        <v>-4515119.9682636494</v>
      </c>
      <c r="R176" s="400">
        <f t="shared" si="101"/>
        <v>0</v>
      </c>
      <c r="S176" s="400">
        <f t="shared" si="101"/>
        <v>-1394806.0121086705</v>
      </c>
      <c r="T176" s="400">
        <f t="shared" si="101"/>
        <v>0</v>
      </c>
      <c r="U176" s="400">
        <f t="shared" si="101"/>
        <v>-204170.06945867071</v>
      </c>
      <c r="V176" s="400">
        <f t="shared" si="101"/>
        <v>0</v>
      </c>
      <c r="W176" s="400">
        <f t="shared" si="101"/>
        <v>-224291.44016867079</v>
      </c>
      <c r="X176" s="400">
        <f t="shared" si="101"/>
        <v>0</v>
      </c>
      <c r="Y176" s="400">
        <f t="shared" si="101"/>
        <v>-341847.77087867068</v>
      </c>
      <c r="Z176" s="400">
        <f t="shared" si="101"/>
        <v>0</v>
      </c>
      <c r="AA176" s="400">
        <f t="shared" si="101"/>
        <v>-357429.25322867057</v>
      </c>
    </row>
    <row r="177" spans="1:29" hidden="1" outlineLevel="1" x14ac:dyDescent="0.2">
      <c r="A177" s="408"/>
      <c r="C177" s="428"/>
      <c r="D177" s="386" t="s">
        <v>4</v>
      </c>
      <c r="E177" s="393"/>
      <c r="F177" s="508"/>
      <c r="G177" s="422"/>
      <c r="H177" s="439">
        <f>H176</f>
        <v>0</v>
      </c>
      <c r="I177" s="439">
        <f t="shared" ref="I177:AA177" si="102">I176</f>
        <v>433748.74603020155</v>
      </c>
      <c r="J177" s="439">
        <f t="shared" si="102"/>
        <v>0</v>
      </c>
      <c r="K177" s="439">
        <f t="shared" si="102"/>
        <v>-212218.04879167143</v>
      </c>
      <c r="L177" s="439">
        <f t="shared" si="102"/>
        <v>0</v>
      </c>
      <c r="M177" s="439">
        <f t="shared" si="102"/>
        <v>-1518998.0612647596</v>
      </c>
      <c r="N177" s="439">
        <f t="shared" si="102"/>
        <v>0</v>
      </c>
      <c r="O177" s="439">
        <f t="shared" si="102"/>
        <v>-4035249.6448281403</v>
      </c>
      <c r="P177" s="439">
        <f t="shared" si="102"/>
        <v>0</v>
      </c>
      <c r="Q177" s="439">
        <f t="shared" si="102"/>
        <v>-4515119.9682636494</v>
      </c>
      <c r="R177" s="439">
        <f t="shared" si="102"/>
        <v>0</v>
      </c>
      <c r="S177" s="439">
        <f t="shared" si="102"/>
        <v>-1394806.0121086705</v>
      </c>
      <c r="T177" s="439">
        <f t="shared" si="102"/>
        <v>0</v>
      </c>
      <c r="U177" s="439">
        <f t="shared" si="102"/>
        <v>-204170.06945867071</v>
      </c>
      <c r="V177" s="439">
        <f t="shared" si="102"/>
        <v>0</v>
      </c>
      <c r="W177" s="439">
        <f t="shared" si="102"/>
        <v>-224291.44016867079</v>
      </c>
      <c r="X177" s="439">
        <f t="shared" si="102"/>
        <v>0</v>
      </c>
      <c r="Y177" s="439">
        <f t="shared" si="102"/>
        <v>-341847.77087867068</v>
      </c>
      <c r="Z177" s="439">
        <f t="shared" si="102"/>
        <v>0</v>
      </c>
      <c r="AA177" s="439">
        <f t="shared" si="102"/>
        <v>-357429.25322867057</v>
      </c>
    </row>
    <row r="178" spans="1:29" hidden="1" outlineLevel="1" x14ac:dyDescent="0.2">
      <c r="A178" s="408"/>
      <c r="C178" s="428"/>
      <c r="D178" s="416" t="s">
        <v>6</v>
      </c>
      <c r="E178" s="391"/>
      <c r="F178" s="392"/>
      <c r="G178" s="420"/>
      <c r="H178" s="432">
        <f>H177</f>
        <v>0</v>
      </c>
      <c r="I178" s="432">
        <f>H178+I177</f>
        <v>433748.74603020155</v>
      </c>
      <c r="J178" s="432">
        <f t="shared" ref="J178" si="103">I178+J177</f>
        <v>433748.74603020155</v>
      </c>
      <c r="K178" s="432">
        <f t="shared" ref="K178" si="104">J178+K177</f>
        <v>221530.69723853012</v>
      </c>
      <c r="L178" s="432">
        <f t="shared" ref="L178" si="105">K178+L177</f>
        <v>221530.69723853012</v>
      </c>
      <c r="M178" s="432">
        <f t="shared" ref="M178" si="106">L178+M177</f>
        <v>-1297467.3640262296</v>
      </c>
      <c r="N178" s="432">
        <f t="shared" ref="N178" si="107">M178+N177</f>
        <v>-1297467.3640262296</v>
      </c>
      <c r="O178" s="432">
        <f t="shared" ref="O178" si="108">N178+O177</f>
        <v>-5332717.0088543696</v>
      </c>
      <c r="P178" s="432">
        <f t="shared" ref="P178" si="109">O178+P177</f>
        <v>-5332717.0088543696</v>
      </c>
      <c r="Q178" s="432">
        <f t="shared" ref="Q178" si="110">P178+Q177</f>
        <v>-9847836.977118019</v>
      </c>
      <c r="R178" s="432">
        <f t="shared" ref="R178" si="111">Q178+R177</f>
        <v>-9847836.977118019</v>
      </c>
      <c r="S178" s="432">
        <f t="shared" ref="S178" si="112">R178+S177</f>
        <v>-11242642.98922669</v>
      </c>
      <c r="T178" s="432">
        <f t="shared" ref="T178" si="113">S178+T177</f>
        <v>-11242642.98922669</v>
      </c>
      <c r="U178" s="432">
        <f t="shared" ref="U178" si="114">T178+U177</f>
        <v>-11446813.05868536</v>
      </c>
      <c r="V178" s="432">
        <f t="shared" ref="V178" si="115">U178+V177</f>
        <v>-11446813.05868536</v>
      </c>
      <c r="W178" s="432">
        <f t="shared" ref="W178" si="116">V178+W177</f>
        <v>-11671104.498854032</v>
      </c>
      <c r="X178" s="432">
        <f t="shared" ref="X178" si="117">W178+X177</f>
        <v>-11671104.498854032</v>
      </c>
      <c r="Y178" s="432">
        <f t="shared" ref="Y178" si="118">X178+Y177</f>
        <v>-12012952.269732703</v>
      </c>
      <c r="Z178" s="432">
        <f t="shared" ref="Z178" si="119">Y178+Z177</f>
        <v>-12012952.269732703</v>
      </c>
      <c r="AA178" s="432">
        <f t="shared" ref="AA178" si="120">Z178+AA177</f>
        <v>-12370381.522961373</v>
      </c>
    </row>
    <row r="179" spans="1:29" ht="7" hidden="1" customHeight="1" outlineLevel="1" x14ac:dyDescent="0.2">
      <c r="A179" s="408"/>
      <c r="C179" s="515"/>
      <c r="D179" s="416"/>
      <c r="E179" s="391"/>
      <c r="F179" s="392"/>
      <c r="G179" s="420"/>
      <c r="H179" s="400"/>
      <c r="I179" s="400"/>
      <c r="J179" s="400"/>
      <c r="K179" s="400"/>
      <c r="L179" s="400"/>
      <c r="M179" s="400"/>
      <c r="N179" s="400"/>
      <c r="O179" s="400"/>
      <c r="P179" s="400"/>
      <c r="Q179" s="400"/>
      <c r="R179" s="400"/>
      <c r="S179" s="400"/>
      <c r="T179" s="400"/>
      <c r="U179" s="400"/>
      <c r="V179" s="400"/>
      <c r="W179" s="400"/>
      <c r="X179" s="400"/>
      <c r="Y179" s="400"/>
      <c r="Z179" s="400"/>
      <c r="AA179" s="400"/>
    </row>
    <row r="180" spans="1:29" collapsed="1" x14ac:dyDescent="0.2">
      <c r="A180" s="408"/>
      <c r="B180" s="522"/>
      <c r="C180" s="428"/>
      <c r="D180" s="516" t="s">
        <v>340</v>
      </c>
      <c r="E180" s="517"/>
      <c r="F180" s="434"/>
      <c r="G180" s="434"/>
      <c r="H180" s="518">
        <f>IF(H177&lt;0,H177,0)</f>
        <v>0</v>
      </c>
      <c r="I180" s="518">
        <f t="shared" ref="I180:AA180" si="121">IF(I177&lt;0,I177,0)</f>
        <v>0</v>
      </c>
      <c r="J180" s="518">
        <f t="shared" si="121"/>
        <v>0</v>
      </c>
      <c r="K180" s="518">
        <f t="shared" si="121"/>
        <v>-212218.04879167143</v>
      </c>
      <c r="L180" s="518">
        <f t="shared" si="121"/>
        <v>0</v>
      </c>
      <c r="M180" s="518">
        <f t="shared" si="121"/>
        <v>-1518998.0612647596</v>
      </c>
      <c r="N180" s="518">
        <f t="shared" si="121"/>
        <v>0</v>
      </c>
      <c r="O180" s="518">
        <f t="shared" si="121"/>
        <v>-4035249.6448281403</v>
      </c>
      <c r="P180" s="518">
        <f t="shared" si="121"/>
        <v>0</v>
      </c>
      <c r="Q180" s="518">
        <f t="shared" si="121"/>
        <v>-4515119.9682636494</v>
      </c>
      <c r="R180" s="518">
        <f t="shared" si="121"/>
        <v>0</v>
      </c>
      <c r="S180" s="518">
        <f t="shared" si="121"/>
        <v>-1394806.0121086705</v>
      </c>
      <c r="T180" s="518">
        <f t="shared" si="121"/>
        <v>0</v>
      </c>
      <c r="U180" s="518">
        <f t="shared" si="121"/>
        <v>-204170.06945867071</v>
      </c>
      <c r="V180" s="518">
        <f t="shared" si="121"/>
        <v>0</v>
      </c>
      <c r="W180" s="518">
        <f t="shared" si="121"/>
        <v>-224291.44016867079</v>
      </c>
      <c r="X180" s="518">
        <f t="shared" si="121"/>
        <v>0</v>
      </c>
      <c r="Y180" s="518">
        <f t="shared" si="121"/>
        <v>-341847.77087867068</v>
      </c>
      <c r="Z180" s="518">
        <f t="shared" si="121"/>
        <v>0</v>
      </c>
      <c r="AA180" s="518">
        <f t="shared" si="121"/>
        <v>-357429.25322867057</v>
      </c>
    </row>
    <row r="181" spans="1:29" ht="7" customHeight="1" x14ac:dyDescent="0.2">
      <c r="C181" s="371"/>
      <c r="D181" s="377"/>
      <c r="E181" s="391"/>
      <c r="F181" s="379"/>
      <c r="G181" s="379"/>
      <c r="H181" s="400"/>
      <c r="I181" s="400"/>
      <c r="J181" s="400"/>
      <c r="K181" s="400"/>
      <c r="L181" s="400"/>
      <c r="M181" s="400"/>
      <c r="N181" s="400"/>
      <c r="O181" s="400"/>
      <c r="P181" s="400"/>
      <c r="Q181" s="400"/>
      <c r="R181" s="400"/>
      <c r="S181" s="400"/>
      <c r="T181" s="400"/>
      <c r="U181" s="400"/>
      <c r="V181" s="400"/>
      <c r="W181" s="400"/>
      <c r="X181" s="400"/>
      <c r="Y181" s="400"/>
      <c r="Z181" s="400"/>
      <c r="AA181" s="400"/>
    </row>
    <row r="182" spans="1:29" s="365" customFormat="1" collapsed="1" x14ac:dyDescent="0.2">
      <c r="A182" s="480"/>
      <c r="B182" s="367"/>
      <c r="D182" s="364" t="s">
        <v>328</v>
      </c>
    </row>
    <row r="183" spans="1:29" ht="7" customHeight="1" x14ac:dyDescent="0.2">
      <c r="A183" s="522"/>
      <c r="B183" s="371"/>
      <c r="C183" s="371"/>
      <c r="D183" s="377"/>
      <c r="E183" s="391"/>
      <c r="F183" s="379"/>
      <c r="G183" s="379"/>
      <c r="H183" s="400"/>
      <c r="I183" s="400"/>
      <c r="J183" s="400"/>
      <c r="K183" s="400"/>
      <c r="L183" s="400"/>
      <c r="M183" s="400"/>
      <c r="N183" s="400"/>
      <c r="O183" s="400"/>
      <c r="P183" s="400"/>
      <c r="Q183" s="400"/>
      <c r="R183" s="400"/>
      <c r="S183" s="400"/>
      <c r="T183" s="400"/>
      <c r="U183" s="400"/>
      <c r="V183" s="400"/>
      <c r="W183" s="400"/>
      <c r="X183" s="400"/>
      <c r="Y183" s="400"/>
      <c r="Z183" s="400"/>
      <c r="AA183" s="400"/>
    </row>
    <row r="184" spans="1:29" x14ac:dyDescent="0.2">
      <c r="A184" s="522"/>
      <c r="B184" s="371"/>
      <c r="C184" s="258" t="s">
        <v>305</v>
      </c>
      <c r="D184" s="423" t="s">
        <v>329</v>
      </c>
      <c r="E184" s="509"/>
      <c r="F184" s="509"/>
      <c r="G184" s="509"/>
      <c r="H184" s="509"/>
      <c r="I184" s="509"/>
      <c r="J184" s="509"/>
      <c r="K184" s="509"/>
      <c r="L184" s="509"/>
      <c r="M184" s="509"/>
      <c r="N184" s="509"/>
      <c r="O184" s="509"/>
      <c r="P184" s="509"/>
      <c r="Q184" s="509"/>
      <c r="R184" s="509"/>
      <c r="S184" s="509"/>
      <c r="T184" s="509"/>
      <c r="U184" s="509"/>
      <c r="V184" s="509"/>
      <c r="W184" s="509"/>
      <c r="X184" s="509"/>
      <c r="Y184" s="509"/>
      <c r="Z184" s="509"/>
      <c r="AA184" s="509"/>
    </row>
    <row r="185" spans="1:29" ht="7" customHeight="1" x14ac:dyDescent="0.2">
      <c r="A185" s="522"/>
      <c r="B185" s="379"/>
      <c r="C185" s="530"/>
      <c r="D185" s="377"/>
      <c r="E185" s="391"/>
      <c r="F185" s="379"/>
      <c r="G185" s="379"/>
      <c r="H185" s="400"/>
      <c r="I185" s="400"/>
      <c r="J185" s="400"/>
      <c r="K185" s="400"/>
      <c r="L185" s="400"/>
      <c r="M185" s="400"/>
      <c r="N185" s="400"/>
      <c r="O185" s="400"/>
      <c r="P185" s="400"/>
      <c r="Q185" s="400"/>
      <c r="R185" s="400"/>
      <c r="S185" s="400"/>
      <c r="T185" s="400"/>
      <c r="U185" s="400"/>
      <c r="V185" s="400"/>
      <c r="W185" s="400"/>
      <c r="X185" s="400"/>
      <c r="Y185" s="400"/>
      <c r="Z185" s="400"/>
      <c r="AA185" s="400"/>
      <c r="AB185" s="379"/>
      <c r="AC185" s="379"/>
    </row>
    <row r="186" spans="1:29" hidden="1" outlineLevel="1" x14ac:dyDescent="0.2">
      <c r="A186" s="522"/>
      <c r="B186" s="379"/>
      <c r="C186" s="530"/>
      <c r="D186" s="377" t="s">
        <v>225</v>
      </c>
      <c r="E186" s="391"/>
      <c r="F186" s="379"/>
      <c r="G186" s="379"/>
      <c r="H186" s="400">
        <f>H19+H62+H81</f>
        <v>-751289.25</v>
      </c>
      <c r="I186" s="400">
        <f t="shared" ref="I186:AA186" si="122">I19+I62+I81</f>
        <v>-751289.25</v>
      </c>
      <c r="J186" s="400">
        <f t="shared" si="122"/>
        <v>-1030221.75</v>
      </c>
      <c r="K186" s="400">
        <f t="shared" si="122"/>
        <v>-831225.75</v>
      </c>
      <c r="L186" s="400">
        <f t="shared" si="122"/>
        <v>0</v>
      </c>
      <c r="M186" s="400">
        <f t="shared" si="122"/>
        <v>0</v>
      </c>
      <c r="N186" s="400">
        <f t="shared" si="122"/>
        <v>-1161592</v>
      </c>
      <c r="O186" s="400">
        <f t="shared" si="122"/>
        <v>-1161592</v>
      </c>
      <c r="P186" s="400">
        <f t="shared" si="122"/>
        <v>0</v>
      </c>
      <c r="Q186" s="400">
        <f t="shared" si="122"/>
        <v>0</v>
      </c>
      <c r="R186" s="400">
        <f t="shared" si="122"/>
        <v>0</v>
      </c>
      <c r="S186" s="400">
        <f t="shared" si="122"/>
        <v>0</v>
      </c>
      <c r="T186" s="400">
        <f t="shared" si="122"/>
        <v>0</v>
      </c>
      <c r="U186" s="400">
        <f t="shared" si="122"/>
        <v>0</v>
      </c>
      <c r="V186" s="400">
        <f t="shared" si="122"/>
        <v>0</v>
      </c>
      <c r="W186" s="400">
        <f t="shared" si="122"/>
        <v>0</v>
      </c>
      <c r="X186" s="400">
        <f t="shared" si="122"/>
        <v>0</v>
      </c>
      <c r="Y186" s="400">
        <f t="shared" si="122"/>
        <v>0</v>
      </c>
      <c r="Z186" s="400">
        <f t="shared" si="122"/>
        <v>0</v>
      </c>
      <c r="AA186" s="400">
        <f t="shared" si="122"/>
        <v>0</v>
      </c>
      <c r="AB186" s="379"/>
      <c r="AC186" s="379"/>
    </row>
    <row r="187" spans="1:29" s="32" customFormat="1" hidden="1" outlineLevel="1" x14ac:dyDescent="0.2">
      <c r="A187" s="523"/>
      <c r="B187" s="388"/>
      <c r="C187" s="530"/>
      <c r="D187" s="377" t="s">
        <v>249</v>
      </c>
      <c r="E187" s="393"/>
      <c r="F187" s="388"/>
      <c r="G187" s="388"/>
      <c r="H187" s="400">
        <f>H106</f>
        <v>0</v>
      </c>
      <c r="I187" s="400">
        <f t="shared" ref="I187:AA187" si="123">I106</f>
        <v>0</v>
      </c>
      <c r="J187" s="400">
        <f t="shared" si="123"/>
        <v>-138000</v>
      </c>
      <c r="K187" s="400">
        <f t="shared" si="123"/>
        <v>0</v>
      </c>
      <c r="L187" s="400">
        <f t="shared" si="123"/>
        <v>0</v>
      </c>
      <c r="M187" s="400">
        <f t="shared" si="123"/>
        <v>0</v>
      </c>
      <c r="N187" s="400">
        <f t="shared" si="123"/>
        <v>0</v>
      </c>
      <c r="O187" s="400">
        <f t="shared" si="123"/>
        <v>0</v>
      </c>
      <c r="P187" s="400">
        <f t="shared" si="123"/>
        <v>0</v>
      </c>
      <c r="Q187" s="400">
        <f t="shared" si="123"/>
        <v>0</v>
      </c>
      <c r="R187" s="400">
        <f t="shared" si="123"/>
        <v>0</v>
      </c>
      <c r="S187" s="400">
        <f t="shared" si="123"/>
        <v>0</v>
      </c>
      <c r="T187" s="400">
        <f t="shared" si="123"/>
        <v>0</v>
      </c>
      <c r="U187" s="400">
        <f t="shared" si="123"/>
        <v>0</v>
      </c>
      <c r="V187" s="400">
        <f t="shared" si="123"/>
        <v>0</v>
      </c>
      <c r="W187" s="400">
        <f t="shared" si="123"/>
        <v>0</v>
      </c>
      <c r="X187" s="400">
        <f t="shared" si="123"/>
        <v>0</v>
      </c>
      <c r="Y187" s="400">
        <f t="shared" si="123"/>
        <v>0</v>
      </c>
      <c r="Z187" s="400">
        <f t="shared" si="123"/>
        <v>0</v>
      </c>
      <c r="AA187" s="400">
        <f t="shared" si="123"/>
        <v>0</v>
      </c>
      <c r="AB187" s="388"/>
      <c r="AC187" s="388"/>
    </row>
    <row r="188" spans="1:29" s="41" customFormat="1" hidden="1" outlineLevel="1" x14ac:dyDescent="0.2">
      <c r="A188" s="524"/>
      <c r="B188" s="391"/>
      <c r="C188" s="530"/>
      <c r="D188" s="377" t="s">
        <v>259</v>
      </c>
      <c r="E188" s="391"/>
      <c r="F188" s="379"/>
      <c r="G188" s="379"/>
      <c r="H188" s="400">
        <f>H132+H133</f>
        <v>-125000</v>
      </c>
      <c r="I188" s="400">
        <f t="shared" ref="I188:AA188" si="124">I132+I133</f>
        <v>-780396.5</v>
      </c>
      <c r="J188" s="400">
        <f t="shared" si="124"/>
        <v>-2418887.75</v>
      </c>
      <c r="K188" s="400">
        <f t="shared" si="124"/>
        <v>-2418887.75</v>
      </c>
      <c r="L188" s="400">
        <f t="shared" si="124"/>
        <v>-327698.25</v>
      </c>
      <c r="M188" s="400">
        <f t="shared" si="124"/>
        <v>-327698.25</v>
      </c>
      <c r="N188" s="400">
        <f t="shared" si="124"/>
        <v>-327698.25</v>
      </c>
      <c r="O188" s="400">
        <f t="shared" si="124"/>
        <v>-327698.25</v>
      </c>
      <c r="P188" s="400">
        <f t="shared" si="124"/>
        <v>0</v>
      </c>
      <c r="Q188" s="400">
        <f t="shared" si="124"/>
        <v>0</v>
      </c>
      <c r="R188" s="400">
        <f t="shared" si="124"/>
        <v>0</v>
      </c>
      <c r="S188" s="400">
        <f t="shared" si="124"/>
        <v>0</v>
      </c>
      <c r="T188" s="400">
        <f t="shared" si="124"/>
        <v>0</v>
      </c>
      <c r="U188" s="400">
        <f t="shared" si="124"/>
        <v>0</v>
      </c>
      <c r="V188" s="400">
        <f t="shared" si="124"/>
        <v>0</v>
      </c>
      <c r="W188" s="400">
        <f t="shared" si="124"/>
        <v>0</v>
      </c>
      <c r="X188" s="400">
        <f t="shared" si="124"/>
        <v>0</v>
      </c>
      <c r="Y188" s="400">
        <f t="shared" si="124"/>
        <v>0</v>
      </c>
      <c r="Z188" s="400">
        <f t="shared" si="124"/>
        <v>0</v>
      </c>
      <c r="AA188" s="400">
        <f t="shared" si="124"/>
        <v>0</v>
      </c>
      <c r="AB188" s="391"/>
      <c r="AC188" s="391"/>
    </row>
    <row r="189" spans="1:29" ht="7" hidden="1" customHeight="1" outlineLevel="1" x14ac:dyDescent="0.2">
      <c r="A189" s="522"/>
      <c r="B189" s="379"/>
      <c r="C189" s="530"/>
      <c r="D189" s="388"/>
      <c r="E189" s="388"/>
      <c r="F189" s="388"/>
      <c r="G189" s="388"/>
      <c r="H189" s="519"/>
      <c r="I189" s="519"/>
      <c r="J189" s="519"/>
      <c r="K189" s="519"/>
      <c r="L189" s="519"/>
      <c r="M189" s="519"/>
      <c r="N189" s="519"/>
      <c r="O189" s="519"/>
      <c r="P189" s="519"/>
      <c r="Q189" s="519"/>
      <c r="R189" s="519"/>
      <c r="S189" s="519"/>
      <c r="T189" s="519"/>
      <c r="U189" s="519"/>
      <c r="V189" s="519"/>
      <c r="W189" s="519"/>
      <c r="X189" s="519"/>
      <c r="Y189" s="519"/>
      <c r="Z189" s="519"/>
      <c r="AA189" s="519"/>
      <c r="AB189" s="379"/>
      <c r="AC189" s="379"/>
    </row>
    <row r="190" spans="1:29" collapsed="1" x14ac:dyDescent="0.2">
      <c r="A190" s="522"/>
      <c r="B190" s="371"/>
      <c r="C190" s="428"/>
      <c r="D190" s="516" t="s">
        <v>336</v>
      </c>
      <c r="E190" s="435"/>
      <c r="F190" s="425"/>
      <c r="G190" s="425"/>
      <c r="H190" s="518">
        <f>SUM(H186:H188)</f>
        <v>-876289.25</v>
      </c>
      <c r="I190" s="518">
        <f t="shared" ref="I190:AA190" si="125">SUM(I186:I188)</f>
        <v>-1531685.75</v>
      </c>
      <c r="J190" s="518">
        <f t="shared" si="125"/>
        <v>-3587109.5</v>
      </c>
      <c r="K190" s="518">
        <f t="shared" si="125"/>
        <v>-3250113.5</v>
      </c>
      <c r="L190" s="518">
        <f t="shared" si="125"/>
        <v>-327698.25</v>
      </c>
      <c r="M190" s="518">
        <f t="shared" si="125"/>
        <v>-327698.25</v>
      </c>
      <c r="N190" s="518">
        <f t="shared" si="125"/>
        <v>-1489290.25</v>
      </c>
      <c r="O190" s="518">
        <f t="shared" si="125"/>
        <v>-1489290.25</v>
      </c>
      <c r="P190" s="518">
        <f t="shared" si="125"/>
        <v>0</v>
      </c>
      <c r="Q190" s="518">
        <f t="shared" si="125"/>
        <v>0</v>
      </c>
      <c r="R190" s="518">
        <f t="shared" si="125"/>
        <v>0</v>
      </c>
      <c r="S190" s="518">
        <f t="shared" si="125"/>
        <v>0</v>
      </c>
      <c r="T190" s="518">
        <f t="shared" si="125"/>
        <v>0</v>
      </c>
      <c r="U190" s="518">
        <f t="shared" si="125"/>
        <v>0</v>
      </c>
      <c r="V190" s="518">
        <f t="shared" si="125"/>
        <v>0</v>
      </c>
      <c r="W190" s="518">
        <f t="shared" si="125"/>
        <v>0</v>
      </c>
      <c r="X190" s="518">
        <f t="shared" si="125"/>
        <v>0</v>
      </c>
      <c r="Y190" s="518">
        <f t="shared" si="125"/>
        <v>0</v>
      </c>
      <c r="Z190" s="518">
        <f t="shared" si="125"/>
        <v>0</v>
      </c>
      <c r="AA190" s="518">
        <f t="shared" si="125"/>
        <v>0</v>
      </c>
    </row>
    <row r="191" spans="1:29" ht="7" customHeight="1" x14ac:dyDescent="0.2">
      <c r="A191" s="522"/>
      <c r="B191" s="379"/>
      <c r="C191" s="379"/>
      <c r="D191" s="388"/>
      <c r="E191" s="388"/>
      <c r="F191" s="388"/>
      <c r="G191" s="379"/>
      <c r="H191" s="379"/>
      <c r="I191" s="379"/>
      <c r="J191" s="379"/>
      <c r="K191" s="379"/>
      <c r="L191" s="379"/>
      <c r="M191" s="379"/>
      <c r="N191" s="379"/>
      <c r="O191" s="379"/>
      <c r="P191" s="379"/>
      <c r="Q191" s="379"/>
      <c r="R191" s="379"/>
      <c r="S191" s="379"/>
      <c r="T191" s="379"/>
      <c r="U191" s="379"/>
      <c r="V191" s="379"/>
      <c r="W191" s="379"/>
      <c r="X191" s="379"/>
      <c r="Y191" s="379"/>
      <c r="Z191" s="379"/>
      <c r="AA191" s="379"/>
      <c r="AB191" s="379"/>
      <c r="AC191" s="379"/>
    </row>
    <row r="192" spans="1:29" x14ac:dyDescent="0.2">
      <c r="A192" s="522"/>
      <c r="B192" s="379"/>
      <c r="C192" s="258" t="s">
        <v>306</v>
      </c>
      <c r="D192" s="423" t="s">
        <v>330</v>
      </c>
      <c r="E192" s="509"/>
      <c r="F192" s="509"/>
      <c r="G192" s="509"/>
      <c r="H192" s="509"/>
      <c r="I192" s="509"/>
      <c r="J192" s="509"/>
      <c r="K192" s="509"/>
      <c r="L192" s="509"/>
      <c r="M192" s="509"/>
      <c r="N192" s="509"/>
      <c r="O192" s="509"/>
      <c r="P192" s="509"/>
      <c r="Q192" s="509"/>
      <c r="R192" s="509"/>
      <c r="S192" s="509"/>
      <c r="T192" s="509"/>
      <c r="U192" s="509"/>
      <c r="V192" s="509"/>
      <c r="W192" s="509"/>
      <c r="X192" s="509"/>
      <c r="Y192" s="509"/>
      <c r="Z192" s="509"/>
      <c r="AA192" s="509"/>
      <c r="AB192" s="379"/>
      <c r="AC192" s="379"/>
    </row>
    <row r="193" spans="1:29" ht="7" hidden="1" customHeight="1" outlineLevel="1" x14ac:dyDescent="0.2">
      <c r="A193" s="522"/>
      <c r="B193" s="379"/>
      <c r="C193" s="530"/>
      <c r="D193" s="377"/>
      <c r="E193" s="391"/>
      <c r="F193" s="379"/>
      <c r="G193" s="379"/>
      <c r="H193" s="400"/>
      <c r="I193" s="400"/>
      <c r="J193" s="400"/>
      <c r="K193" s="400"/>
      <c r="L193" s="400"/>
      <c r="M193" s="400"/>
      <c r="N193" s="400"/>
      <c r="O193" s="400"/>
      <c r="P193" s="400"/>
      <c r="Q193" s="400"/>
      <c r="R193" s="400"/>
      <c r="S193" s="400"/>
      <c r="T193" s="400"/>
      <c r="U193" s="400"/>
      <c r="V193" s="400"/>
      <c r="W193" s="400"/>
      <c r="X193" s="400"/>
      <c r="Y193" s="400"/>
      <c r="Z193" s="400"/>
      <c r="AA193" s="400"/>
      <c r="AB193" s="379"/>
      <c r="AC193" s="379"/>
    </row>
    <row r="194" spans="1:29" hidden="1" outlineLevel="1" x14ac:dyDescent="0.2">
      <c r="A194" s="522"/>
      <c r="B194" s="379"/>
      <c r="C194" s="530"/>
      <c r="D194" s="377" t="s">
        <v>225</v>
      </c>
      <c r="E194" s="391"/>
      <c r="F194" s="379"/>
      <c r="G194" s="379"/>
      <c r="H194" s="400">
        <f t="shared" ref="H194:X194" si="126">H33+H56+H75+H89</f>
        <v>-169538.11199999999</v>
      </c>
      <c r="I194" s="400">
        <f t="shared" si="126"/>
        <v>-169538.11199999999</v>
      </c>
      <c r="J194" s="400">
        <f t="shared" si="126"/>
        <v>-169538.11199999999</v>
      </c>
      <c r="K194" s="400">
        <f t="shared" si="126"/>
        <v>67749.720000000059</v>
      </c>
      <c r="L194" s="400">
        <f t="shared" si="126"/>
        <v>499486.03200000012</v>
      </c>
      <c r="M194" s="400">
        <f t="shared" si="126"/>
        <v>539190.15300000005</v>
      </c>
      <c r="N194" s="400">
        <f t="shared" si="126"/>
        <v>579460.67400000012</v>
      </c>
      <c r="O194" s="400">
        <f t="shared" si="126"/>
        <v>619164.79500000004</v>
      </c>
      <c r="P194" s="400">
        <f t="shared" si="126"/>
        <v>694398.02681339718</v>
      </c>
      <c r="Q194" s="400">
        <f t="shared" si="126"/>
        <v>711050.73641339713</v>
      </c>
      <c r="R194" s="400">
        <f t="shared" si="126"/>
        <v>753069.39295406698</v>
      </c>
      <c r="S194" s="400">
        <f t="shared" si="126"/>
        <v>753069.39295406698</v>
      </c>
      <c r="T194" s="400">
        <f t="shared" si="126"/>
        <v>774078.72122440184</v>
      </c>
      <c r="U194" s="400">
        <f t="shared" si="126"/>
        <v>774078.72122440184</v>
      </c>
      <c r="V194" s="400">
        <f t="shared" si="126"/>
        <v>795088.04949473694</v>
      </c>
      <c r="W194" s="400">
        <f t="shared" si="126"/>
        <v>812307.15909473691</v>
      </c>
      <c r="X194" s="400">
        <f t="shared" si="126"/>
        <v>972934.08736507175</v>
      </c>
      <c r="Y194" s="400">
        <f t="shared" ref="Y194:AA194" si="127">Y33+Y56+Y75+Y89</f>
        <v>972934.08736507175</v>
      </c>
      <c r="Z194" s="400">
        <f t="shared" si="127"/>
        <v>996492.21563540667</v>
      </c>
      <c r="AA194" s="400">
        <f t="shared" si="127"/>
        <v>996492.21563540667</v>
      </c>
      <c r="AB194" s="379"/>
      <c r="AC194" s="379"/>
    </row>
    <row r="195" spans="1:29" s="49" customFormat="1" hidden="1" outlineLevel="1" x14ac:dyDescent="0.2">
      <c r="A195" s="525"/>
      <c r="B195" s="388"/>
      <c r="C195" s="530"/>
      <c r="D195" s="377" t="s">
        <v>249</v>
      </c>
      <c r="E195" s="393"/>
      <c r="F195" s="388"/>
      <c r="G195" s="388"/>
      <c r="H195" s="400">
        <f ca="1">H114+H121</f>
        <v>-455437.58952863025</v>
      </c>
      <c r="I195" s="400">
        <f t="shared" ref="I195:AA195" si="128">I114+I121</f>
        <v>1638874.8173460618</v>
      </c>
      <c r="J195" s="400">
        <f t="shared" si="128"/>
        <v>1029318.101196654</v>
      </c>
      <c r="K195" s="400">
        <f t="shared" si="128"/>
        <v>738851.16186435288</v>
      </c>
      <c r="L195" s="400">
        <f t="shared" si="128"/>
        <v>-145717.60912140645</v>
      </c>
      <c r="M195" s="400">
        <f t="shared" si="128"/>
        <v>-811437.6516160256</v>
      </c>
      <c r="N195" s="400">
        <f t="shared" si="128"/>
        <v>3089861.7911418201</v>
      </c>
      <c r="O195" s="400">
        <f t="shared" si="128"/>
        <v>3035042.0745073864</v>
      </c>
      <c r="P195" s="400">
        <f t="shared" si="128"/>
        <v>2250318.2707363679</v>
      </c>
      <c r="Q195" s="400">
        <f t="shared" si="128"/>
        <v>1326374.1097975865</v>
      </c>
      <c r="R195" s="400">
        <f t="shared" si="128"/>
        <v>14248.219834710742</v>
      </c>
      <c r="S195" s="400">
        <f t="shared" si="128"/>
        <v>14998.126141800782</v>
      </c>
      <c r="T195" s="400">
        <f t="shared" si="128"/>
        <v>14998.126141800782</v>
      </c>
      <c r="U195" s="400">
        <f t="shared" si="128"/>
        <v>15748.032448890821</v>
      </c>
      <c r="V195" s="400">
        <f t="shared" si="128"/>
        <v>15748.032448890821</v>
      </c>
      <c r="W195" s="400">
        <f t="shared" si="128"/>
        <v>16497.93875598086</v>
      </c>
      <c r="X195" s="400">
        <f t="shared" si="128"/>
        <v>16497.93875598086</v>
      </c>
      <c r="Y195" s="400">
        <f t="shared" si="128"/>
        <v>17247.845063070898</v>
      </c>
      <c r="Z195" s="400">
        <f t="shared" si="128"/>
        <v>17247.845063070898</v>
      </c>
      <c r="AA195" s="400">
        <f t="shared" si="128"/>
        <v>17997.751370160939</v>
      </c>
      <c r="AB195" s="388"/>
      <c r="AC195" s="388"/>
    </row>
    <row r="196" spans="1:29" hidden="1" outlineLevel="1" x14ac:dyDescent="0.2">
      <c r="A196" s="522"/>
      <c r="B196" s="371"/>
      <c r="C196" s="530"/>
      <c r="D196" s="377" t="s">
        <v>259</v>
      </c>
      <c r="E196" s="391"/>
      <c r="F196" s="379"/>
      <c r="G196" s="379"/>
      <c r="H196" s="400">
        <f>H149</f>
        <v>-413479</v>
      </c>
      <c r="I196" s="400">
        <f t="shared" ref="I196:AA196" si="129">I149</f>
        <v>-413479</v>
      </c>
      <c r="J196" s="400">
        <f t="shared" si="129"/>
        <v>-463479</v>
      </c>
      <c r="K196" s="400">
        <f t="shared" si="129"/>
        <v>1644215.6437499998</v>
      </c>
      <c r="L196" s="400">
        <f t="shared" si="129"/>
        <v>1939122.7875000001</v>
      </c>
      <c r="M196" s="400">
        <f t="shared" si="129"/>
        <v>2144029.9312499999</v>
      </c>
      <c r="N196" s="400">
        <f t="shared" si="129"/>
        <v>2348937.0750000002</v>
      </c>
      <c r="O196" s="400">
        <f t="shared" si="129"/>
        <v>2553844.21875</v>
      </c>
      <c r="P196" s="400">
        <f t="shared" si="129"/>
        <v>2758751.3624999998</v>
      </c>
      <c r="Q196" s="400">
        <f t="shared" si="129"/>
        <v>2963658.5062500001</v>
      </c>
      <c r="R196" s="400">
        <f t="shared" si="129"/>
        <v>3198565.65</v>
      </c>
      <c r="S196" s="400">
        <f t="shared" si="129"/>
        <v>-243521.85</v>
      </c>
      <c r="T196" s="400">
        <f t="shared" si="129"/>
        <v>-243521.85</v>
      </c>
      <c r="U196" s="400">
        <f t="shared" si="129"/>
        <v>-243521.85</v>
      </c>
      <c r="V196" s="400">
        <f t="shared" si="129"/>
        <v>-243521.85</v>
      </c>
      <c r="W196" s="400">
        <f t="shared" si="129"/>
        <v>-243521.85</v>
      </c>
      <c r="X196" s="400">
        <f t="shared" si="129"/>
        <v>-243521.85</v>
      </c>
      <c r="Y196" s="400">
        <f t="shared" si="129"/>
        <v>-243521.85</v>
      </c>
      <c r="Z196" s="400">
        <f t="shared" si="129"/>
        <v>-243521.85</v>
      </c>
      <c r="AA196" s="400">
        <f t="shared" si="129"/>
        <v>-243521.85</v>
      </c>
    </row>
    <row r="197" spans="1:29" ht="7" customHeight="1" collapsed="1" x14ac:dyDescent="0.2">
      <c r="A197" s="522"/>
      <c r="B197" s="371"/>
      <c r="C197" s="530"/>
      <c r="D197" s="388"/>
      <c r="E197" s="388"/>
      <c r="F197" s="388"/>
      <c r="G197" s="388"/>
      <c r="H197" s="519"/>
      <c r="I197" s="519"/>
      <c r="J197" s="519"/>
      <c r="K197" s="519"/>
      <c r="L197" s="519"/>
      <c r="M197" s="519"/>
      <c r="N197" s="519"/>
      <c r="O197" s="519"/>
      <c r="P197" s="519"/>
      <c r="Q197" s="519"/>
      <c r="R197" s="519"/>
      <c r="S197" s="519"/>
      <c r="T197" s="519"/>
      <c r="U197" s="519"/>
      <c r="V197" s="519"/>
      <c r="W197" s="519"/>
      <c r="X197" s="519"/>
      <c r="Y197" s="519"/>
      <c r="Z197" s="519"/>
      <c r="AA197" s="519"/>
    </row>
    <row r="198" spans="1:29" x14ac:dyDescent="0.2">
      <c r="A198" s="522"/>
      <c r="B198" s="371"/>
      <c r="C198" s="428"/>
      <c r="D198" s="516" t="s">
        <v>337</v>
      </c>
      <c r="E198" s="435"/>
      <c r="F198" s="425"/>
      <c r="G198" s="425"/>
      <c r="H198" s="518">
        <f ca="1">SUM(H194:H196)</f>
        <v>-1038454.7015286302</v>
      </c>
      <c r="I198" s="518">
        <f t="shared" ref="I198:AA198" si="130">SUM(I194:I196)</f>
        <v>1055857.7053460618</v>
      </c>
      <c r="J198" s="518">
        <f t="shared" si="130"/>
        <v>396300.98919665406</v>
      </c>
      <c r="K198" s="518">
        <f t="shared" si="130"/>
        <v>2450816.5256143529</v>
      </c>
      <c r="L198" s="518">
        <f t="shared" si="130"/>
        <v>2292891.2103785938</v>
      </c>
      <c r="M198" s="518">
        <f t="shared" si="130"/>
        <v>1871782.4326339744</v>
      </c>
      <c r="N198" s="518">
        <f t="shared" si="130"/>
        <v>6018259.5401418209</v>
      </c>
      <c r="O198" s="518">
        <f t="shared" si="130"/>
        <v>6208051.0882573863</v>
      </c>
      <c r="P198" s="518">
        <f t="shared" si="130"/>
        <v>5703467.6600497644</v>
      </c>
      <c r="Q198" s="518">
        <f t="shared" si="130"/>
        <v>5001083.3524609841</v>
      </c>
      <c r="R198" s="518">
        <f t="shared" si="130"/>
        <v>3965883.2627887777</v>
      </c>
      <c r="S198" s="518">
        <f t="shared" si="130"/>
        <v>524545.66909586778</v>
      </c>
      <c r="T198" s="518">
        <f t="shared" si="130"/>
        <v>545554.99736620265</v>
      </c>
      <c r="U198" s="518">
        <f t="shared" si="130"/>
        <v>546304.90367329272</v>
      </c>
      <c r="V198" s="518">
        <f t="shared" si="130"/>
        <v>567314.23194362782</v>
      </c>
      <c r="W198" s="518">
        <f t="shared" si="130"/>
        <v>585283.24785071774</v>
      </c>
      <c r="X198" s="518">
        <f t="shared" si="130"/>
        <v>745910.17612105259</v>
      </c>
      <c r="Y198" s="518">
        <f t="shared" si="130"/>
        <v>746660.08242814266</v>
      </c>
      <c r="Z198" s="518">
        <f t="shared" si="130"/>
        <v>770218.21069847757</v>
      </c>
      <c r="AA198" s="518">
        <f t="shared" si="130"/>
        <v>770968.11700556765</v>
      </c>
    </row>
    <row r="199" spans="1:29" ht="7" customHeight="1" x14ac:dyDescent="0.2">
      <c r="A199" s="522"/>
      <c r="B199" s="371"/>
      <c r="C199" s="520"/>
      <c r="D199" s="388"/>
      <c r="E199" s="388"/>
      <c r="F199" s="388"/>
      <c r="G199" s="379"/>
      <c r="H199" s="379"/>
      <c r="I199" s="379"/>
      <c r="J199" s="379"/>
      <c r="K199" s="379"/>
      <c r="L199" s="379"/>
      <c r="M199" s="379"/>
      <c r="N199" s="379"/>
      <c r="O199" s="379"/>
      <c r="P199" s="379"/>
      <c r="Q199" s="379"/>
      <c r="R199" s="379"/>
      <c r="S199" s="379"/>
      <c r="T199" s="379"/>
      <c r="U199" s="379"/>
      <c r="V199" s="379"/>
      <c r="W199" s="379"/>
      <c r="X199" s="379"/>
      <c r="Y199" s="379"/>
      <c r="Z199" s="379"/>
      <c r="AA199" s="379"/>
    </row>
    <row r="200" spans="1:29" x14ac:dyDescent="0.2">
      <c r="A200" s="522"/>
      <c r="B200" s="379"/>
      <c r="C200" s="258" t="s">
        <v>307</v>
      </c>
      <c r="D200" s="423" t="s">
        <v>231</v>
      </c>
      <c r="E200" s="509"/>
      <c r="F200" s="509"/>
      <c r="G200" s="509"/>
      <c r="H200" s="509"/>
      <c r="I200" s="509"/>
      <c r="J200" s="509"/>
      <c r="K200" s="509"/>
      <c r="L200" s="509"/>
      <c r="M200" s="509"/>
      <c r="N200" s="509"/>
      <c r="O200" s="509"/>
      <c r="P200" s="509"/>
      <c r="Q200" s="509"/>
      <c r="R200" s="509"/>
      <c r="S200" s="509"/>
      <c r="T200" s="509"/>
      <c r="U200" s="509"/>
      <c r="V200" s="509"/>
      <c r="W200" s="509"/>
      <c r="X200" s="509"/>
      <c r="Y200" s="509"/>
      <c r="Z200" s="509"/>
      <c r="AA200" s="509"/>
      <c r="AB200" s="379"/>
      <c r="AC200" s="379"/>
    </row>
    <row r="201" spans="1:29" s="41" customFormat="1" ht="7" customHeight="1" x14ac:dyDescent="0.2">
      <c r="A201" s="524"/>
      <c r="B201" s="424"/>
      <c r="C201" s="530"/>
      <c r="D201" s="388"/>
      <c r="E201" s="388"/>
      <c r="F201" s="388"/>
      <c r="G201" s="379"/>
      <c r="H201" s="379"/>
      <c r="I201" s="379"/>
      <c r="J201" s="379"/>
      <c r="K201" s="379"/>
      <c r="L201" s="379"/>
      <c r="M201" s="379"/>
      <c r="N201" s="379"/>
      <c r="O201" s="379"/>
      <c r="P201" s="379"/>
      <c r="Q201" s="379"/>
      <c r="R201" s="379"/>
      <c r="S201" s="379"/>
      <c r="T201" s="379"/>
      <c r="U201" s="379"/>
      <c r="V201" s="379"/>
      <c r="W201" s="379"/>
      <c r="X201" s="379"/>
      <c r="Y201" s="379"/>
      <c r="Z201" s="379"/>
      <c r="AA201" s="379"/>
    </row>
    <row r="202" spans="1:29" hidden="1" outlineLevel="1" x14ac:dyDescent="0.2">
      <c r="A202" s="522"/>
      <c r="B202" s="371"/>
      <c r="C202" s="530"/>
      <c r="D202" s="377" t="s">
        <v>8</v>
      </c>
      <c r="E202" s="388"/>
      <c r="F202" s="388"/>
      <c r="G202" s="379"/>
      <c r="H202" s="400">
        <f>H171</f>
        <v>-426744.48852000001</v>
      </c>
      <c r="I202" s="400">
        <f t="shared" ref="I202:AA202" si="131">I171</f>
        <v>-609972.95351999998</v>
      </c>
      <c r="J202" s="400">
        <f t="shared" si="131"/>
        <v>-1052111.94102</v>
      </c>
      <c r="K202" s="400">
        <f t="shared" si="131"/>
        <v>-912153.80129999993</v>
      </c>
      <c r="L202" s="400">
        <f t="shared" si="131"/>
        <v>-149.76253511088726</v>
      </c>
      <c r="M202" s="400">
        <f t="shared" si="131"/>
        <v>0</v>
      </c>
      <c r="N202" s="400">
        <f t="shared" si="131"/>
        <v>-470436.32609266636</v>
      </c>
      <c r="O202" s="400">
        <f t="shared" si="131"/>
        <v>-461940.98035817745</v>
      </c>
      <c r="P202" s="400">
        <f t="shared" si="131"/>
        <v>0</v>
      </c>
      <c r="Q202" s="400">
        <f t="shared" si="131"/>
        <v>0</v>
      </c>
      <c r="R202" s="400">
        <f t="shared" si="131"/>
        <v>0</v>
      </c>
      <c r="S202" s="400">
        <f t="shared" si="131"/>
        <v>0</v>
      </c>
      <c r="T202" s="400">
        <f t="shared" si="131"/>
        <v>0</v>
      </c>
      <c r="U202" s="400">
        <f t="shared" si="131"/>
        <v>0</v>
      </c>
      <c r="V202" s="400">
        <f t="shared" si="131"/>
        <v>0</v>
      </c>
      <c r="W202" s="400">
        <f t="shared" si="131"/>
        <v>0</v>
      </c>
      <c r="X202" s="400">
        <f t="shared" si="131"/>
        <v>0</v>
      </c>
      <c r="Y202" s="400">
        <f t="shared" si="131"/>
        <v>0</v>
      </c>
      <c r="Z202" s="400">
        <f t="shared" si="131"/>
        <v>0</v>
      </c>
      <c r="AA202" s="400">
        <f t="shared" si="131"/>
        <v>0</v>
      </c>
    </row>
    <row r="203" spans="1:29" hidden="1" outlineLevel="1" x14ac:dyDescent="0.2">
      <c r="A203" s="522"/>
      <c r="B203" s="371"/>
      <c r="C203" s="428"/>
      <c r="D203" s="377" t="s">
        <v>218</v>
      </c>
      <c r="E203" s="388"/>
      <c r="F203" s="388"/>
      <c r="G203" s="371"/>
      <c r="H203" s="400">
        <f>H180</f>
        <v>0</v>
      </c>
      <c r="I203" s="400">
        <f t="shared" ref="I203:AA203" si="132">I180</f>
        <v>0</v>
      </c>
      <c r="J203" s="400">
        <f t="shared" si="132"/>
        <v>0</v>
      </c>
      <c r="K203" s="400">
        <f t="shared" si="132"/>
        <v>-212218.04879167143</v>
      </c>
      <c r="L203" s="400">
        <f t="shared" si="132"/>
        <v>0</v>
      </c>
      <c r="M203" s="400">
        <f t="shared" si="132"/>
        <v>-1518998.0612647596</v>
      </c>
      <c r="N203" s="400">
        <f t="shared" si="132"/>
        <v>0</v>
      </c>
      <c r="O203" s="400">
        <f t="shared" si="132"/>
        <v>-4035249.6448281403</v>
      </c>
      <c r="P203" s="400">
        <f t="shared" si="132"/>
        <v>0</v>
      </c>
      <c r="Q203" s="400">
        <f t="shared" si="132"/>
        <v>-4515119.9682636494</v>
      </c>
      <c r="R203" s="400">
        <f t="shared" si="132"/>
        <v>0</v>
      </c>
      <c r="S203" s="400">
        <f t="shared" si="132"/>
        <v>-1394806.0121086705</v>
      </c>
      <c r="T203" s="400">
        <f t="shared" si="132"/>
        <v>0</v>
      </c>
      <c r="U203" s="400">
        <f t="shared" si="132"/>
        <v>-204170.06945867071</v>
      </c>
      <c r="V203" s="400">
        <f t="shared" si="132"/>
        <v>0</v>
      </c>
      <c r="W203" s="400">
        <f t="shared" si="132"/>
        <v>-224291.44016867079</v>
      </c>
      <c r="X203" s="400">
        <f t="shared" si="132"/>
        <v>0</v>
      </c>
      <c r="Y203" s="400">
        <f t="shared" si="132"/>
        <v>-341847.77087867068</v>
      </c>
      <c r="Z203" s="400">
        <f t="shared" si="132"/>
        <v>0</v>
      </c>
      <c r="AA203" s="400">
        <f t="shared" si="132"/>
        <v>-357429.25322867057</v>
      </c>
    </row>
    <row r="204" spans="1:29" ht="7" hidden="1" customHeight="1" outlineLevel="1" x14ac:dyDescent="0.2">
      <c r="A204" s="522"/>
      <c r="B204" s="371"/>
      <c r="C204" s="428"/>
      <c r="D204" s="377"/>
      <c r="E204" s="388"/>
      <c r="F204" s="388"/>
      <c r="G204" s="371"/>
      <c r="H204" s="400"/>
      <c r="I204" s="400"/>
      <c r="J204" s="400"/>
      <c r="K204" s="400"/>
      <c r="L204" s="400"/>
      <c r="M204" s="400"/>
      <c r="N204" s="400"/>
      <c r="O204" s="400"/>
      <c r="P204" s="400"/>
      <c r="Q204" s="400"/>
      <c r="R204" s="400"/>
      <c r="S204" s="400"/>
      <c r="T204" s="400"/>
      <c r="U204" s="400"/>
      <c r="V204" s="400"/>
      <c r="W204" s="400"/>
      <c r="X204" s="400"/>
      <c r="Y204" s="400"/>
      <c r="Z204" s="400"/>
      <c r="AA204" s="400"/>
    </row>
    <row r="205" spans="1:29" collapsed="1" x14ac:dyDescent="0.2">
      <c r="A205" s="522"/>
      <c r="B205" s="371"/>
      <c r="C205" s="428"/>
      <c r="D205" s="516" t="s">
        <v>344</v>
      </c>
      <c r="E205" s="435"/>
      <c r="F205" s="425"/>
      <c r="G205" s="425"/>
      <c r="H205" s="518">
        <f>SUM(H202:H203)</f>
        <v>-426744.48852000001</v>
      </c>
      <c r="I205" s="518">
        <f t="shared" ref="I205:AA205" si="133">SUM(I202:I203)</f>
        <v>-609972.95351999998</v>
      </c>
      <c r="J205" s="518">
        <f t="shared" si="133"/>
        <v>-1052111.94102</v>
      </c>
      <c r="K205" s="518">
        <f t="shared" si="133"/>
        <v>-1124371.8500916713</v>
      </c>
      <c r="L205" s="518">
        <f t="shared" si="133"/>
        <v>-149.76253511088726</v>
      </c>
      <c r="M205" s="518">
        <f t="shared" si="133"/>
        <v>-1518998.0612647596</v>
      </c>
      <c r="N205" s="518">
        <f t="shared" si="133"/>
        <v>-470436.32609266636</v>
      </c>
      <c r="O205" s="518">
        <f t="shared" si="133"/>
        <v>-4497190.6251863176</v>
      </c>
      <c r="P205" s="518">
        <f t="shared" si="133"/>
        <v>0</v>
      </c>
      <c r="Q205" s="518">
        <f t="shared" si="133"/>
        <v>-4515119.9682636494</v>
      </c>
      <c r="R205" s="518">
        <f t="shared" si="133"/>
        <v>0</v>
      </c>
      <c r="S205" s="518">
        <f t="shared" si="133"/>
        <v>-1394806.0121086705</v>
      </c>
      <c r="T205" s="518">
        <f t="shared" si="133"/>
        <v>0</v>
      </c>
      <c r="U205" s="518">
        <f t="shared" si="133"/>
        <v>-204170.06945867071</v>
      </c>
      <c r="V205" s="518">
        <f t="shared" si="133"/>
        <v>0</v>
      </c>
      <c r="W205" s="518">
        <f t="shared" si="133"/>
        <v>-224291.44016867079</v>
      </c>
      <c r="X205" s="518">
        <f t="shared" si="133"/>
        <v>0</v>
      </c>
      <c r="Y205" s="518">
        <f t="shared" si="133"/>
        <v>-341847.77087867068</v>
      </c>
      <c r="Z205" s="518">
        <f t="shared" si="133"/>
        <v>0</v>
      </c>
      <c r="AA205" s="518">
        <f t="shared" si="133"/>
        <v>-357429.25322867057</v>
      </c>
    </row>
    <row r="206" spans="1:29" ht="7" customHeight="1" x14ac:dyDescent="0.2">
      <c r="A206" s="522"/>
      <c r="B206" s="371"/>
      <c r="D206" s="388"/>
      <c r="E206" s="388"/>
      <c r="F206" s="388"/>
      <c r="G206" s="371"/>
      <c r="H206" s="371"/>
      <c r="I206" s="371"/>
      <c r="J206" s="371"/>
      <c r="K206" s="371"/>
      <c r="L206" s="371"/>
      <c r="M206" s="371"/>
      <c r="N206" s="371"/>
      <c r="O206" s="371"/>
      <c r="P206" s="371"/>
      <c r="Q206" s="371"/>
      <c r="R206" s="371"/>
      <c r="S206" s="371"/>
      <c r="T206" s="371"/>
      <c r="U206" s="371"/>
      <c r="V206" s="371"/>
      <c r="W206" s="371"/>
      <c r="X206" s="371"/>
      <c r="Y206" s="371"/>
      <c r="Z206" s="371"/>
      <c r="AA206" s="371"/>
    </row>
    <row r="207" spans="1:29" x14ac:dyDescent="0.2">
      <c r="A207" s="522"/>
      <c r="B207" s="379"/>
      <c r="C207" s="258" t="s">
        <v>342</v>
      </c>
      <c r="D207" s="423" t="s">
        <v>341</v>
      </c>
      <c r="E207" s="509"/>
      <c r="F207" s="509"/>
      <c r="G207" s="509"/>
      <c r="H207" s="509"/>
      <c r="I207" s="509"/>
      <c r="J207" s="509"/>
      <c r="K207" s="509"/>
      <c r="L207" s="509"/>
      <c r="M207" s="509"/>
      <c r="N207" s="509"/>
      <c r="O207" s="509"/>
      <c r="P207" s="509"/>
      <c r="Q207" s="509"/>
      <c r="R207" s="509"/>
      <c r="S207" s="509"/>
      <c r="T207" s="509"/>
      <c r="U207" s="509"/>
      <c r="V207" s="509"/>
      <c r="W207" s="509"/>
      <c r="X207" s="509"/>
      <c r="Y207" s="509"/>
      <c r="Z207" s="509"/>
      <c r="AA207" s="509"/>
      <c r="AB207" s="379"/>
      <c r="AC207" s="379"/>
    </row>
    <row r="208" spans="1:29" ht="7" customHeight="1" x14ac:dyDescent="0.2">
      <c r="A208" s="522"/>
      <c r="B208" s="371"/>
      <c r="C208" s="530"/>
      <c r="D208" s="388"/>
      <c r="E208" s="388"/>
      <c r="F208" s="388"/>
      <c r="G208" s="379"/>
      <c r="H208" s="379"/>
      <c r="I208" s="379"/>
      <c r="J208" s="379"/>
      <c r="K208" s="379"/>
      <c r="L208" s="379"/>
      <c r="M208" s="379"/>
      <c r="N208" s="379"/>
      <c r="O208" s="379"/>
      <c r="P208" s="379"/>
      <c r="Q208" s="379"/>
      <c r="R208" s="379"/>
      <c r="S208" s="379"/>
      <c r="T208" s="379"/>
      <c r="U208" s="379"/>
      <c r="V208" s="379"/>
      <c r="W208" s="379"/>
      <c r="X208" s="379"/>
      <c r="Y208" s="379"/>
      <c r="Z208" s="379"/>
      <c r="AA208" s="379"/>
    </row>
    <row r="209" spans="1:27" hidden="1" outlineLevel="1" x14ac:dyDescent="0.2">
      <c r="A209" s="522"/>
      <c r="B209" s="371"/>
      <c r="C209" s="530"/>
      <c r="D209" s="377" t="s">
        <v>225</v>
      </c>
      <c r="E209" s="388"/>
      <c r="F209" s="388"/>
      <c r="G209" s="379"/>
      <c r="H209" s="400">
        <f>H100</f>
        <v>-11269.338749999999</v>
      </c>
      <c r="I209" s="400">
        <f t="shared" ref="I209:AA209" si="134">I100</f>
        <v>-25795.477499999997</v>
      </c>
      <c r="J209" s="400">
        <f t="shared" si="134"/>
        <v>-44505.603749999995</v>
      </c>
      <c r="K209" s="400">
        <f t="shared" si="134"/>
        <v>-56973.99</v>
      </c>
      <c r="L209" s="400">
        <f t="shared" si="134"/>
        <v>-56973.99</v>
      </c>
      <c r="M209" s="400">
        <f t="shared" si="134"/>
        <v>-56973.99</v>
      </c>
      <c r="N209" s="400">
        <f t="shared" si="134"/>
        <v>-74397.87</v>
      </c>
      <c r="O209" s="400">
        <f t="shared" si="134"/>
        <v>-91821.75</v>
      </c>
      <c r="P209" s="400">
        <f t="shared" si="134"/>
        <v>-91821.75</v>
      </c>
      <c r="Q209" s="400">
        <f t="shared" si="134"/>
        <v>-91821.75</v>
      </c>
      <c r="R209" s="400">
        <f t="shared" si="134"/>
        <v>-91821.75</v>
      </c>
      <c r="S209" s="400">
        <f t="shared" si="134"/>
        <v>-91821.75</v>
      </c>
      <c r="T209" s="400">
        <f t="shared" si="134"/>
        <v>-91821.75</v>
      </c>
      <c r="U209" s="400">
        <f t="shared" si="134"/>
        <v>-91821.75</v>
      </c>
      <c r="V209" s="400">
        <f t="shared" si="134"/>
        <v>-91821.75</v>
      </c>
      <c r="W209" s="400">
        <f t="shared" si="134"/>
        <v>-91821.75</v>
      </c>
      <c r="X209" s="400">
        <f t="shared" si="134"/>
        <v>-91821.75</v>
      </c>
      <c r="Y209" s="400">
        <f t="shared" si="134"/>
        <v>-91821.75</v>
      </c>
      <c r="Z209" s="400">
        <f t="shared" si="134"/>
        <v>-91821.75</v>
      </c>
      <c r="AA209" s="400">
        <f t="shared" si="134"/>
        <v>-91821.75</v>
      </c>
    </row>
    <row r="210" spans="1:27" hidden="1" outlineLevel="1" x14ac:dyDescent="0.2">
      <c r="A210" s="522"/>
      <c r="B210" s="371"/>
      <c r="C210" s="428"/>
      <c r="D210" s="377" t="s">
        <v>249</v>
      </c>
      <c r="E210" s="388"/>
      <c r="F210" s="388"/>
      <c r="G210" s="371"/>
      <c r="H210" s="400">
        <f>H126</f>
        <v>0</v>
      </c>
      <c r="I210" s="400">
        <f t="shared" ref="I210:AA210" si="135">I185</f>
        <v>0</v>
      </c>
      <c r="J210" s="400">
        <f t="shared" si="135"/>
        <v>0</v>
      </c>
      <c r="K210" s="400">
        <f t="shared" si="135"/>
        <v>0</v>
      </c>
      <c r="L210" s="400">
        <f t="shared" si="135"/>
        <v>0</v>
      </c>
      <c r="M210" s="400">
        <f t="shared" si="135"/>
        <v>0</v>
      </c>
      <c r="N210" s="400">
        <f t="shared" si="135"/>
        <v>0</v>
      </c>
      <c r="O210" s="400">
        <f t="shared" si="135"/>
        <v>0</v>
      </c>
      <c r="P210" s="400">
        <f t="shared" si="135"/>
        <v>0</v>
      </c>
      <c r="Q210" s="400">
        <f t="shared" si="135"/>
        <v>0</v>
      </c>
      <c r="R210" s="400">
        <f t="shared" si="135"/>
        <v>0</v>
      </c>
      <c r="S210" s="400">
        <f t="shared" si="135"/>
        <v>0</v>
      </c>
      <c r="T210" s="400">
        <f t="shared" si="135"/>
        <v>0</v>
      </c>
      <c r="U210" s="400">
        <f t="shared" si="135"/>
        <v>0</v>
      </c>
      <c r="V210" s="400">
        <f t="shared" si="135"/>
        <v>0</v>
      </c>
      <c r="W210" s="400">
        <f t="shared" si="135"/>
        <v>0</v>
      </c>
      <c r="X210" s="400">
        <f t="shared" si="135"/>
        <v>0</v>
      </c>
      <c r="Y210" s="400">
        <f t="shared" si="135"/>
        <v>0</v>
      </c>
      <c r="Z210" s="400">
        <f t="shared" si="135"/>
        <v>0</v>
      </c>
      <c r="AA210" s="400">
        <f t="shared" si="135"/>
        <v>0</v>
      </c>
    </row>
    <row r="211" spans="1:27" hidden="1" outlineLevel="1" x14ac:dyDescent="0.2">
      <c r="A211" s="522"/>
      <c r="B211" s="371"/>
      <c r="C211" s="428"/>
      <c r="D211" s="377" t="s">
        <v>259</v>
      </c>
      <c r="E211" s="388"/>
      <c r="F211" s="388"/>
      <c r="G211" s="371"/>
      <c r="H211" s="400">
        <f>H156</f>
        <v>0</v>
      </c>
      <c r="I211" s="400">
        <f t="shared" ref="I211:AA211" si="136">I156</f>
        <v>0</v>
      </c>
      <c r="J211" s="400">
        <f t="shared" si="136"/>
        <v>0</v>
      </c>
      <c r="K211" s="400">
        <f t="shared" si="136"/>
        <v>0</v>
      </c>
      <c r="L211" s="400">
        <f t="shared" si="136"/>
        <v>0</v>
      </c>
      <c r="M211" s="400">
        <f t="shared" si="136"/>
        <v>0</v>
      </c>
      <c r="N211" s="400">
        <f t="shared" si="136"/>
        <v>0</v>
      </c>
      <c r="O211" s="400">
        <f t="shared" si="136"/>
        <v>0</v>
      </c>
      <c r="P211" s="400">
        <f t="shared" si="136"/>
        <v>-141079.30000000002</v>
      </c>
      <c r="Q211" s="400">
        <f t="shared" si="136"/>
        <v>-141079.30000000002</v>
      </c>
      <c r="R211" s="400">
        <f t="shared" si="136"/>
        <v>-141079.30000000002</v>
      </c>
      <c r="S211" s="400">
        <f t="shared" si="136"/>
        <v>-141079.30000000002</v>
      </c>
      <c r="T211" s="400">
        <f t="shared" si="136"/>
        <v>-141079.30000000002</v>
      </c>
      <c r="U211" s="400">
        <f t="shared" si="136"/>
        <v>-141079.30000000002</v>
      </c>
      <c r="V211" s="400">
        <f t="shared" si="136"/>
        <v>-141079.30000000002</v>
      </c>
      <c r="W211" s="400">
        <f t="shared" si="136"/>
        <v>-141079.30000000002</v>
      </c>
      <c r="X211" s="400">
        <f t="shared" si="136"/>
        <v>-141079.30000000002</v>
      </c>
      <c r="Y211" s="400">
        <f t="shared" si="136"/>
        <v>-141079.30000000002</v>
      </c>
      <c r="Z211" s="400">
        <f t="shared" si="136"/>
        <v>-141079.30000000002</v>
      </c>
      <c r="AA211" s="400">
        <f t="shared" si="136"/>
        <v>-141079.30000000002</v>
      </c>
    </row>
    <row r="212" spans="1:27" ht="7" hidden="1" customHeight="1" outlineLevel="1" x14ac:dyDescent="0.2">
      <c r="A212" s="522"/>
      <c r="B212" s="371"/>
      <c r="C212" s="428"/>
      <c r="D212" s="377"/>
      <c r="E212" s="388"/>
      <c r="F212" s="388"/>
      <c r="G212" s="371"/>
      <c r="H212" s="371"/>
      <c r="I212" s="371"/>
      <c r="J212" s="371"/>
      <c r="K212" s="371"/>
      <c r="L212" s="371"/>
      <c r="M212" s="371"/>
      <c r="N212" s="371"/>
      <c r="O212" s="371"/>
      <c r="P212" s="371"/>
      <c r="Q212" s="371"/>
      <c r="R212" s="371"/>
      <c r="S212" s="371"/>
      <c r="T212" s="371"/>
      <c r="U212" s="371"/>
      <c r="V212" s="371"/>
      <c r="W212" s="371"/>
      <c r="X212" s="371"/>
      <c r="Y212" s="371"/>
      <c r="Z212" s="371"/>
      <c r="AA212" s="371"/>
    </row>
    <row r="213" spans="1:27" collapsed="1" x14ac:dyDescent="0.2">
      <c r="A213" s="522"/>
      <c r="B213" s="371"/>
      <c r="C213" s="428"/>
      <c r="D213" s="516" t="s">
        <v>343</v>
      </c>
      <c r="E213" s="435"/>
      <c r="F213" s="425"/>
      <c r="G213" s="425"/>
      <c r="H213" s="518">
        <f>SUM(H209:H211)</f>
        <v>-11269.338749999999</v>
      </c>
      <c r="I213" s="518">
        <f t="shared" ref="I213:AA213" si="137">SUM(I209:I211)</f>
        <v>-25795.477499999997</v>
      </c>
      <c r="J213" s="518">
        <f t="shared" si="137"/>
        <v>-44505.603749999995</v>
      </c>
      <c r="K213" s="518">
        <f t="shared" si="137"/>
        <v>-56973.99</v>
      </c>
      <c r="L213" s="518">
        <f t="shared" si="137"/>
        <v>-56973.99</v>
      </c>
      <c r="M213" s="518">
        <f t="shared" si="137"/>
        <v>-56973.99</v>
      </c>
      <c r="N213" s="518">
        <f t="shared" si="137"/>
        <v>-74397.87</v>
      </c>
      <c r="O213" s="518">
        <f t="shared" si="137"/>
        <v>-91821.75</v>
      </c>
      <c r="P213" s="518">
        <f t="shared" si="137"/>
        <v>-232901.05000000002</v>
      </c>
      <c r="Q213" s="518">
        <f t="shared" si="137"/>
        <v>-232901.05000000002</v>
      </c>
      <c r="R213" s="518">
        <f t="shared" si="137"/>
        <v>-232901.05000000002</v>
      </c>
      <c r="S213" s="518">
        <f t="shared" si="137"/>
        <v>-232901.05000000002</v>
      </c>
      <c r="T213" s="518">
        <f t="shared" si="137"/>
        <v>-232901.05000000002</v>
      </c>
      <c r="U213" s="518">
        <f t="shared" si="137"/>
        <v>-232901.05000000002</v>
      </c>
      <c r="V213" s="518">
        <f t="shared" si="137"/>
        <v>-232901.05000000002</v>
      </c>
      <c r="W213" s="518">
        <f t="shared" si="137"/>
        <v>-232901.05000000002</v>
      </c>
      <c r="X213" s="518">
        <f t="shared" si="137"/>
        <v>-232901.05000000002</v>
      </c>
      <c r="Y213" s="518">
        <f t="shared" si="137"/>
        <v>-232901.05000000002</v>
      </c>
      <c r="Z213" s="518">
        <f t="shared" si="137"/>
        <v>-232901.05000000002</v>
      </c>
      <c r="AA213" s="518">
        <f t="shared" si="137"/>
        <v>-232901.05000000002</v>
      </c>
    </row>
    <row r="214" spans="1:27" ht="13" customHeight="1" x14ac:dyDescent="0.2">
      <c r="A214" s="522"/>
      <c r="B214" s="371"/>
      <c r="E214" s="388"/>
      <c r="F214" s="41" t="s">
        <v>6</v>
      </c>
      <c r="G214" s="292">
        <f>G213</f>
        <v>0</v>
      </c>
      <c r="H214" s="292">
        <f>G214+H213</f>
        <v>-11269.338749999999</v>
      </c>
      <c r="I214" s="292">
        <f t="shared" ref="I214:AA214" si="138">H214+I213</f>
        <v>-37064.816249999996</v>
      </c>
      <c r="J214" s="292">
        <f t="shared" si="138"/>
        <v>-81570.419999999984</v>
      </c>
      <c r="K214" s="292">
        <f t="shared" si="138"/>
        <v>-138544.40999999997</v>
      </c>
      <c r="L214" s="292">
        <f t="shared" si="138"/>
        <v>-195518.39999999997</v>
      </c>
      <c r="M214" s="292">
        <f t="shared" si="138"/>
        <v>-252492.38999999996</v>
      </c>
      <c r="N214" s="292">
        <f t="shared" si="138"/>
        <v>-326890.25999999995</v>
      </c>
      <c r="O214" s="292">
        <f t="shared" si="138"/>
        <v>-418712.00999999995</v>
      </c>
      <c r="P214" s="292">
        <f t="shared" si="138"/>
        <v>-651613.05999999994</v>
      </c>
      <c r="Q214" s="292">
        <f t="shared" si="138"/>
        <v>-884514.11</v>
      </c>
      <c r="R214" s="292">
        <f t="shared" si="138"/>
        <v>-1117415.1599999999</v>
      </c>
      <c r="S214" s="292">
        <f t="shared" si="138"/>
        <v>-1350316.21</v>
      </c>
      <c r="T214" s="292">
        <f t="shared" si="138"/>
        <v>-1583217.26</v>
      </c>
      <c r="U214" s="292">
        <f t="shared" si="138"/>
        <v>-1816118.31</v>
      </c>
      <c r="V214" s="292">
        <f t="shared" si="138"/>
        <v>-2049019.36</v>
      </c>
      <c r="W214" s="292">
        <f t="shared" si="138"/>
        <v>-2281920.41</v>
      </c>
      <c r="X214" s="292">
        <f t="shared" si="138"/>
        <v>-2514821.46</v>
      </c>
      <c r="Y214" s="292">
        <f t="shared" si="138"/>
        <v>-2747722.51</v>
      </c>
      <c r="Z214" s="292">
        <f t="shared" si="138"/>
        <v>-2980623.5599999996</v>
      </c>
      <c r="AA214" s="292">
        <f t="shared" si="138"/>
        <v>-3213524.6099999994</v>
      </c>
    </row>
    <row r="215" spans="1:27" ht="7" customHeight="1" x14ac:dyDescent="0.2">
      <c r="A215" s="522"/>
      <c r="B215" s="371"/>
      <c r="D215" s="377"/>
      <c r="E215" s="388"/>
      <c r="F215" s="388"/>
      <c r="G215" s="371"/>
      <c r="H215" s="371"/>
      <c r="I215" s="371"/>
      <c r="J215" s="371"/>
      <c r="K215" s="371"/>
      <c r="L215" s="371"/>
      <c r="M215" s="371"/>
      <c r="N215" s="371"/>
      <c r="O215" s="371"/>
      <c r="P215" s="371"/>
      <c r="Q215" s="371"/>
      <c r="R215" s="371"/>
      <c r="S215" s="371"/>
      <c r="T215" s="371"/>
      <c r="U215" s="371"/>
      <c r="V215" s="371"/>
      <c r="W215" s="371"/>
      <c r="X215" s="371"/>
      <c r="Y215" s="371"/>
      <c r="Z215" s="371"/>
      <c r="AA215" s="371"/>
    </row>
    <row r="216" spans="1:27" ht="7" customHeight="1" x14ac:dyDescent="0.2">
      <c r="A216" s="522"/>
      <c r="B216" s="371"/>
      <c r="D216" s="377"/>
      <c r="E216" s="388"/>
      <c r="F216" s="388"/>
      <c r="G216" s="371"/>
      <c r="H216" s="371"/>
      <c r="I216" s="371"/>
      <c r="J216" s="371"/>
      <c r="K216" s="371"/>
      <c r="L216" s="371"/>
      <c r="M216" s="371"/>
      <c r="N216" s="371"/>
      <c r="O216" s="371"/>
      <c r="P216" s="371"/>
      <c r="Q216" s="371"/>
      <c r="R216" s="371"/>
      <c r="S216" s="371"/>
      <c r="T216" s="371"/>
      <c r="U216" s="371"/>
      <c r="V216" s="371"/>
      <c r="W216" s="371"/>
      <c r="X216" s="371"/>
      <c r="Y216" s="371"/>
      <c r="Z216" s="371"/>
      <c r="AA216" s="371"/>
    </row>
    <row r="217" spans="1:27" x14ac:dyDescent="0.2">
      <c r="A217" s="522"/>
      <c r="B217" s="408"/>
      <c r="C217" s="408"/>
      <c r="D217" s="405" t="s">
        <v>347</v>
      </c>
      <c r="E217" s="405"/>
      <c r="F217" s="405">
        <f ca="1">SUM(G217:AA217)</f>
        <v>6898358.5691851592</v>
      </c>
      <c r="G217" s="406">
        <f>G208+G212</f>
        <v>0</v>
      </c>
      <c r="H217" s="406">
        <f ca="1">H190+H198+H205+H213</f>
        <v>-2352757.7787986305</v>
      </c>
      <c r="I217" s="406">
        <f t="shared" ref="I217:AA217" si="139">I190+I198+I205+I213</f>
        <v>-1111596.4756739382</v>
      </c>
      <c r="J217" s="406">
        <f t="shared" si="139"/>
        <v>-4287426.0555733461</v>
      </c>
      <c r="K217" s="406">
        <f t="shared" si="139"/>
        <v>-1980642.8144773184</v>
      </c>
      <c r="L217" s="406">
        <f t="shared" si="139"/>
        <v>1908069.207843483</v>
      </c>
      <c r="M217" s="406">
        <f t="shared" si="139"/>
        <v>-31887.868630785269</v>
      </c>
      <c r="N217" s="406">
        <f t="shared" si="139"/>
        <v>3984135.0940491543</v>
      </c>
      <c r="O217" s="406">
        <f t="shared" si="139"/>
        <v>129748.46307106875</v>
      </c>
      <c r="P217" s="406">
        <f t="shared" si="139"/>
        <v>5470566.6100497646</v>
      </c>
      <c r="Q217" s="406">
        <f t="shared" si="139"/>
        <v>253062.33419733474</v>
      </c>
      <c r="R217" s="406">
        <f t="shared" si="139"/>
        <v>3732982.2127887779</v>
      </c>
      <c r="S217" s="406">
        <f t="shared" si="139"/>
        <v>-1103161.3930128028</v>
      </c>
      <c r="T217" s="406">
        <f t="shared" si="139"/>
        <v>312653.9473662026</v>
      </c>
      <c r="U217" s="406">
        <f t="shared" si="139"/>
        <v>109233.78421462202</v>
      </c>
      <c r="V217" s="406">
        <f t="shared" si="139"/>
        <v>334413.18194362777</v>
      </c>
      <c r="W217" s="406">
        <f t="shared" si="139"/>
        <v>128090.75768204694</v>
      </c>
      <c r="X217" s="406">
        <f t="shared" si="139"/>
        <v>513009.12612105254</v>
      </c>
      <c r="Y217" s="406">
        <f t="shared" si="139"/>
        <v>171911.26154947196</v>
      </c>
      <c r="Z217" s="406">
        <f t="shared" si="139"/>
        <v>537317.16069847753</v>
      </c>
      <c r="AA217" s="406">
        <f t="shared" si="139"/>
        <v>180637.81377689706</v>
      </c>
    </row>
    <row r="218" spans="1:27" x14ac:dyDescent="0.2">
      <c r="A218" s="522"/>
      <c r="B218" s="371"/>
      <c r="E218" s="388"/>
      <c r="F218" s="41" t="s">
        <v>6</v>
      </c>
      <c r="G218" s="292">
        <f>G217</f>
        <v>0</v>
      </c>
      <c r="H218" s="292">
        <f ca="1">G218+H217</f>
        <v>-2352757.7787986305</v>
      </c>
      <c r="I218" s="292">
        <f t="shared" ref="I218:AA218" ca="1" si="140">H218+I217</f>
        <v>-3464354.2544725686</v>
      </c>
      <c r="J218" s="292">
        <f t="shared" ca="1" si="140"/>
        <v>-7751780.3100459147</v>
      </c>
      <c r="K218" s="292">
        <f t="shared" ca="1" si="140"/>
        <v>-9732423.1245232336</v>
      </c>
      <c r="L218" s="292">
        <f t="shared" ca="1" si="140"/>
        <v>-7824353.9166797511</v>
      </c>
      <c r="M218" s="292">
        <f t="shared" ca="1" si="140"/>
        <v>-7856241.7853105366</v>
      </c>
      <c r="N218" s="292">
        <f t="shared" ca="1" si="140"/>
        <v>-3872106.6912613823</v>
      </c>
      <c r="O218" s="292">
        <f t="shared" ca="1" si="140"/>
        <v>-3742358.2281903136</v>
      </c>
      <c r="P218" s="292">
        <f t="shared" ca="1" si="140"/>
        <v>1728208.3818594511</v>
      </c>
      <c r="Q218" s="292">
        <f t="shared" ca="1" si="140"/>
        <v>1981270.7160567858</v>
      </c>
      <c r="R218" s="292">
        <f t="shared" ca="1" si="140"/>
        <v>5714252.9288455639</v>
      </c>
      <c r="S218" s="292">
        <f t="shared" ca="1" si="140"/>
        <v>4611091.5358327609</v>
      </c>
      <c r="T218" s="292">
        <f t="shared" ca="1" si="140"/>
        <v>4923745.4831989631</v>
      </c>
      <c r="U218" s="292">
        <f t="shared" ca="1" si="140"/>
        <v>5032979.2674135854</v>
      </c>
      <c r="V218" s="292">
        <f t="shared" ca="1" si="140"/>
        <v>5367392.4493572135</v>
      </c>
      <c r="W218" s="292">
        <f t="shared" ca="1" si="140"/>
        <v>5495483.2070392603</v>
      </c>
      <c r="X218" s="292">
        <f t="shared" ca="1" si="140"/>
        <v>6008492.3331603128</v>
      </c>
      <c r="Y218" s="292">
        <f t="shared" ca="1" si="140"/>
        <v>6180403.5947097847</v>
      </c>
      <c r="Z218" s="292">
        <f t="shared" ca="1" si="140"/>
        <v>6717720.7554082619</v>
      </c>
      <c r="AA218" s="292">
        <f t="shared" ca="1" si="140"/>
        <v>6898358.5691851592</v>
      </c>
    </row>
    <row r="219" spans="1:27" ht="7" customHeight="1" x14ac:dyDescent="0.2">
      <c r="A219" s="522"/>
      <c r="B219" s="371"/>
      <c r="E219" s="388"/>
      <c r="F219" s="41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</row>
    <row r="220" spans="1:27" x14ac:dyDescent="0.2">
      <c r="A220" s="522"/>
      <c r="B220" s="371"/>
      <c r="D220" s="531" t="s">
        <v>346</v>
      </c>
      <c r="E220" s="531"/>
      <c r="F220" s="532">
        <f ca="1">(1+IRR(H217:AA217,0.01))^2-1</f>
        <v>0.18245595746198329</v>
      </c>
      <c r="G220" s="371"/>
      <c r="H220" s="371"/>
      <c r="I220" s="371"/>
      <c r="J220" s="371"/>
      <c r="K220" s="371"/>
      <c r="L220" s="371"/>
      <c r="M220" s="371"/>
      <c r="N220" s="371"/>
      <c r="O220" s="371"/>
      <c r="P220" s="371"/>
      <c r="Q220" s="371"/>
      <c r="R220" s="371"/>
      <c r="S220" s="371"/>
      <c r="T220" s="371"/>
      <c r="U220" s="371"/>
      <c r="V220" s="371"/>
      <c r="W220" s="371"/>
      <c r="X220" s="371"/>
      <c r="Y220" s="371"/>
      <c r="Z220" s="371"/>
      <c r="AA220" s="371"/>
    </row>
    <row r="221" spans="1:27" x14ac:dyDescent="0.2">
      <c r="A221" s="522"/>
      <c r="B221" s="371"/>
      <c r="D221" s="531" t="s">
        <v>171</v>
      </c>
      <c r="E221" s="531"/>
      <c r="F221" s="531">
        <f ca="1">+MIN(H218:AA218)</f>
        <v>-9732423.1245232336</v>
      </c>
      <c r="G221" s="371"/>
      <c r="H221" s="371"/>
      <c r="I221" s="371"/>
      <c r="J221" s="371"/>
      <c r="K221" s="371"/>
      <c r="L221" s="371"/>
      <c r="M221" s="371"/>
      <c r="N221" s="371"/>
      <c r="O221" s="371"/>
      <c r="P221" s="371"/>
      <c r="Q221" s="371"/>
      <c r="R221" s="371"/>
      <c r="S221" s="371"/>
      <c r="T221" s="371"/>
      <c r="U221" s="371"/>
      <c r="V221" s="371"/>
      <c r="W221" s="371"/>
      <c r="X221" s="371"/>
      <c r="Y221" s="371"/>
      <c r="Z221" s="371"/>
      <c r="AA221" s="371"/>
    </row>
    <row r="222" spans="1:27" ht="7" customHeight="1" x14ac:dyDescent="0.2">
      <c r="A222" s="522"/>
      <c r="B222" s="371"/>
      <c r="D222" s="377"/>
      <c r="E222" s="388"/>
      <c r="F222" s="388"/>
      <c r="G222" s="371"/>
      <c r="H222" s="371"/>
      <c r="I222" s="371"/>
      <c r="J222" s="371"/>
      <c r="K222" s="371"/>
      <c r="L222" s="371"/>
      <c r="M222" s="371"/>
      <c r="N222" s="371"/>
      <c r="O222" s="371"/>
      <c r="P222" s="371"/>
      <c r="Q222" s="371"/>
      <c r="R222" s="371"/>
      <c r="S222" s="371"/>
      <c r="T222" s="371"/>
      <c r="U222" s="371"/>
      <c r="V222" s="371"/>
      <c r="W222" s="371"/>
      <c r="X222" s="371"/>
      <c r="Y222" s="371"/>
      <c r="Z222" s="371"/>
      <c r="AA222" s="371"/>
    </row>
    <row r="223" spans="1:27" x14ac:dyDescent="0.2">
      <c r="A223" s="522"/>
      <c r="B223" s="371"/>
      <c r="C223" s="534" t="s">
        <v>342</v>
      </c>
      <c r="D223" s="535" t="s">
        <v>348</v>
      </c>
      <c r="E223" s="533">
        <v>60</v>
      </c>
      <c r="F223" s="515">
        <f>G223</f>
        <v>-6180480</v>
      </c>
      <c r="G223" s="536">
        <f>(E287+E274+E261)*-E223</f>
        <v>-6180480</v>
      </c>
      <c r="H223" s="428"/>
      <c r="I223" s="428"/>
      <c r="J223" s="428"/>
      <c r="K223" s="428"/>
      <c r="L223" s="428"/>
      <c r="M223" s="428"/>
      <c r="N223" s="428"/>
      <c r="O223" s="428"/>
      <c r="P223" s="428"/>
      <c r="Q223" s="428"/>
      <c r="R223" s="428"/>
      <c r="S223" s="428"/>
      <c r="T223" s="428"/>
      <c r="U223" s="428"/>
      <c r="V223" s="428"/>
      <c r="W223" s="428"/>
      <c r="X223" s="428"/>
      <c r="Y223" s="428"/>
      <c r="Z223" s="428"/>
      <c r="AA223" s="536">
        <f>AA35+AA93+AA116</f>
        <v>25362249.175139189</v>
      </c>
    </row>
    <row r="224" spans="1:27" x14ac:dyDescent="0.2">
      <c r="A224" s="522"/>
      <c r="B224" s="371"/>
      <c r="D224" s="41" t="s">
        <v>345</v>
      </c>
      <c r="E224" s="521"/>
      <c r="F224" s="388"/>
      <c r="G224" s="400"/>
      <c r="H224" s="371"/>
      <c r="I224" s="371"/>
      <c r="J224" s="371"/>
      <c r="K224" s="371"/>
      <c r="L224" s="371"/>
      <c r="M224" s="371"/>
      <c r="N224" s="371"/>
      <c r="O224" s="371"/>
      <c r="P224" s="371"/>
      <c r="Q224" s="371"/>
      <c r="R224" s="371"/>
      <c r="S224" s="371"/>
      <c r="T224" s="371"/>
      <c r="U224" s="371"/>
      <c r="V224" s="371"/>
      <c r="W224" s="371"/>
      <c r="X224" s="371"/>
      <c r="Y224" s="371"/>
      <c r="AA224" s="292" t="s">
        <v>366</v>
      </c>
    </row>
    <row r="225" spans="1:27" ht="7" customHeight="1" x14ac:dyDescent="0.2">
      <c r="A225" s="522"/>
      <c r="B225" s="371"/>
      <c r="D225" s="377"/>
      <c r="E225" s="521"/>
      <c r="F225" s="388"/>
      <c r="G225" s="400"/>
      <c r="H225" s="371"/>
      <c r="I225" s="371"/>
      <c r="J225" s="371"/>
      <c r="K225" s="371"/>
      <c r="L225" s="371"/>
      <c r="M225" s="371"/>
      <c r="N225" s="371"/>
      <c r="O225" s="371"/>
      <c r="P225" s="371"/>
      <c r="Q225" s="371"/>
      <c r="R225" s="371"/>
      <c r="S225" s="371"/>
      <c r="T225" s="371"/>
      <c r="U225" s="371"/>
      <c r="V225" s="371"/>
      <c r="W225" s="371"/>
      <c r="X225" s="371"/>
      <c r="Y225" s="371"/>
      <c r="Z225" s="371"/>
      <c r="AA225" s="371"/>
    </row>
    <row r="226" spans="1:27" x14ac:dyDescent="0.2">
      <c r="A226" s="526"/>
      <c r="B226" s="526"/>
      <c r="C226" s="526"/>
      <c r="D226" s="527" t="s">
        <v>365</v>
      </c>
      <c r="E226" s="527"/>
      <c r="F226" s="527">
        <f ca="1">SUM(G226:AA226)</f>
        <v>26080127.744324345</v>
      </c>
      <c r="G226" s="528">
        <f>G217+G223</f>
        <v>-6180480</v>
      </c>
      <c r="H226" s="528">
        <f t="shared" ref="H226:AA226" ca="1" si="141">H217+H223</f>
        <v>-2352757.7787986305</v>
      </c>
      <c r="I226" s="528">
        <f t="shared" si="141"/>
        <v>-1111596.4756739382</v>
      </c>
      <c r="J226" s="528">
        <f t="shared" si="141"/>
        <v>-4287426.0555733461</v>
      </c>
      <c r="K226" s="528">
        <f t="shared" si="141"/>
        <v>-1980642.8144773184</v>
      </c>
      <c r="L226" s="528">
        <f t="shared" si="141"/>
        <v>1908069.207843483</v>
      </c>
      <c r="M226" s="528">
        <f t="shared" si="141"/>
        <v>-31887.868630785269</v>
      </c>
      <c r="N226" s="528">
        <f t="shared" si="141"/>
        <v>3984135.0940491543</v>
      </c>
      <c r="O226" s="528">
        <f t="shared" si="141"/>
        <v>129748.46307106875</v>
      </c>
      <c r="P226" s="528">
        <f t="shared" si="141"/>
        <v>5470566.6100497646</v>
      </c>
      <c r="Q226" s="528">
        <f t="shared" si="141"/>
        <v>253062.33419733474</v>
      </c>
      <c r="R226" s="528">
        <f t="shared" si="141"/>
        <v>3732982.2127887779</v>
      </c>
      <c r="S226" s="528">
        <f t="shared" si="141"/>
        <v>-1103161.3930128028</v>
      </c>
      <c r="T226" s="528">
        <f t="shared" si="141"/>
        <v>312653.9473662026</v>
      </c>
      <c r="U226" s="528">
        <f t="shared" si="141"/>
        <v>109233.78421462202</v>
      </c>
      <c r="V226" s="528">
        <f t="shared" si="141"/>
        <v>334413.18194362777</v>
      </c>
      <c r="W226" s="528">
        <f t="shared" si="141"/>
        <v>128090.75768204694</v>
      </c>
      <c r="X226" s="528">
        <f t="shared" si="141"/>
        <v>513009.12612105254</v>
      </c>
      <c r="Y226" s="528">
        <f t="shared" si="141"/>
        <v>171911.26154947196</v>
      </c>
      <c r="Z226" s="528">
        <f t="shared" si="141"/>
        <v>537317.16069847753</v>
      </c>
      <c r="AA226" s="528">
        <f t="shared" si="141"/>
        <v>25542886.988916084</v>
      </c>
    </row>
    <row r="227" spans="1:27" x14ac:dyDescent="0.2">
      <c r="D227" s="388"/>
      <c r="E227" s="388"/>
      <c r="F227" s="41" t="s">
        <v>6</v>
      </c>
      <c r="G227" s="292">
        <f>G226</f>
        <v>-6180480</v>
      </c>
      <c r="H227" s="292">
        <f ca="1">G227+H226</f>
        <v>-8533237.7787986305</v>
      </c>
      <c r="I227" s="292">
        <f t="shared" ref="I227" ca="1" si="142">H227+I226</f>
        <v>-9644834.2544725686</v>
      </c>
      <c r="J227" s="292">
        <f t="shared" ref="J227" ca="1" si="143">I227+J226</f>
        <v>-13932260.310045915</v>
      </c>
      <c r="K227" s="292">
        <f t="shared" ref="K227" ca="1" si="144">J227+K226</f>
        <v>-15912903.124523234</v>
      </c>
      <c r="L227" s="292">
        <f t="shared" ref="L227" ca="1" si="145">K227+L226</f>
        <v>-14004833.916679751</v>
      </c>
      <c r="M227" s="292">
        <f t="shared" ref="M227" ca="1" si="146">L227+M226</f>
        <v>-14036721.785310537</v>
      </c>
      <c r="N227" s="292">
        <f t="shared" ref="N227" ca="1" si="147">M227+N226</f>
        <v>-10052586.691261383</v>
      </c>
      <c r="O227" s="292">
        <f t="shared" ref="O227" ca="1" si="148">N227+O226</f>
        <v>-9922838.228190314</v>
      </c>
      <c r="P227" s="292">
        <f t="shared" ref="P227" ca="1" si="149">O227+P226</f>
        <v>-4452271.6181405494</v>
      </c>
      <c r="Q227" s="292">
        <f t="shared" ref="Q227" ca="1" si="150">P227+Q226</f>
        <v>-4199209.2839432145</v>
      </c>
      <c r="R227" s="292">
        <f t="shared" ref="R227" ca="1" si="151">Q227+R226</f>
        <v>-466227.07115443656</v>
      </c>
      <c r="S227" s="292">
        <f t="shared" ref="S227" ca="1" si="152">R227+S226</f>
        <v>-1569388.4641672394</v>
      </c>
      <c r="T227" s="292">
        <f t="shared" ref="T227" ca="1" si="153">S227+T226</f>
        <v>-1256734.5168010369</v>
      </c>
      <c r="U227" s="292">
        <f t="shared" ref="U227" ca="1" si="154">T227+U226</f>
        <v>-1147500.7325864148</v>
      </c>
      <c r="V227" s="292">
        <f t="shared" ref="V227" ca="1" si="155">U227+V226</f>
        <v>-813087.55064278701</v>
      </c>
      <c r="W227" s="292">
        <f t="shared" ref="W227" ca="1" si="156">V227+W226</f>
        <v>-684996.79296074004</v>
      </c>
      <c r="X227" s="292">
        <f t="shared" ref="X227" ca="1" si="157">W227+X226</f>
        <v>-171987.6668396875</v>
      </c>
      <c r="Y227" s="292">
        <f t="shared" ref="Y227" ca="1" si="158">X227+Y226</f>
        <v>-76.405290215538116</v>
      </c>
      <c r="Z227" s="292">
        <f t="shared" ref="Z227" ca="1" si="159">Y227+Z226</f>
        <v>537240.75540826202</v>
      </c>
      <c r="AA227" s="292">
        <f t="shared" ref="AA227" ca="1" si="160">Z227+AA226</f>
        <v>26080127.744324345</v>
      </c>
    </row>
    <row r="228" spans="1:27" ht="7" customHeight="1" x14ac:dyDescent="0.2">
      <c r="D228" s="388"/>
      <c r="E228" s="388"/>
      <c r="F228" s="41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</row>
    <row r="229" spans="1:27" x14ac:dyDescent="0.2">
      <c r="D229" s="531" t="s">
        <v>346</v>
      </c>
      <c r="E229" s="531"/>
      <c r="F229" s="542">
        <f ca="1">(1+IRR(G226:AA226,0.01))^2-1</f>
        <v>0.16072608055890614</v>
      </c>
      <c r="G229" s="371"/>
      <c r="H229" s="371"/>
      <c r="I229" s="371"/>
      <c r="J229" s="371"/>
      <c r="K229" s="371"/>
      <c r="L229" s="371"/>
      <c r="M229" s="371"/>
      <c r="N229" s="371"/>
      <c r="O229" s="371"/>
      <c r="P229" s="371"/>
      <c r="Q229" s="371"/>
      <c r="R229" s="371"/>
      <c r="S229" s="371"/>
      <c r="T229" s="371"/>
      <c r="U229" s="371"/>
      <c r="V229" s="371"/>
      <c r="W229" s="371"/>
      <c r="X229" s="371"/>
      <c r="Y229" s="371"/>
      <c r="Z229" s="371"/>
      <c r="AA229" s="371"/>
    </row>
    <row r="230" spans="1:27" x14ac:dyDescent="0.2">
      <c r="D230" s="531" t="s">
        <v>171</v>
      </c>
      <c r="E230" s="531"/>
      <c r="F230" s="531">
        <f ca="1">+MIN(G227:AA227)</f>
        <v>-15912903.124523234</v>
      </c>
      <c r="G230" s="371"/>
      <c r="H230" s="371"/>
      <c r="I230" s="371"/>
      <c r="J230" s="371"/>
      <c r="K230" s="371"/>
      <c r="L230" s="371"/>
      <c r="M230" s="371"/>
      <c r="N230" s="371"/>
      <c r="O230" s="371"/>
      <c r="P230" s="371"/>
      <c r="Q230" s="371"/>
      <c r="R230" s="371"/>
      <c r="S230" s="371"/>
      <c r="T230" s="371"/>
      <c r="U230" s="371"/>
      <c r="V230" s="371"/>
      <c r="W230" s="371"/>
      <c r="X230" s="371"/>
      <c r="Y230" s="371"/>
      <c r="Z230" s="371"/>
      <c r="AA230" s="371"/>
    </row>
    <row r="231" spans="1:27" x14ac:dyDescent="0.2">
      <c r="D231" s="531" t="s">
        <v>261</v>
      </c>
      <c r="E231" s="537">
        <v>0.13500000000000001</v>
      </c>
      <c r="F231" s="428">
        <f ca="1">NPV((1+E231)^(1/2)-1,H226:AA226)+G226</f>
        <v>2074732.1322681559</v>
      </c>
      <c r="G231" s="371"/>
      <c r="H231" s="371"/>
      <c r="I231" s="371"/>
      <c r="J231" s="371"/>
      <c r="K231" s="371"/>
      <c r="L231" s="371"/>
      <c r="M231" s="371"/>
      <c r="N231" s="371"/>
      <c r="O231" s="371"/>
      <c r="P231" s="371"/>
      <c r="Q231" s="371"/>
      <c r="R231" s="371"/>
      <c r="S231" s="371"/>
      <c r="T231" s="371"/>
      <c r="U231" s="371"/>
      <c r="V231" s="371"/>
      <c r="W231" s="371"/>
      <c r="X231" s="371"/>
      <c r="Y231" s="371"/>
      <c r="Z231" s="371"/>
      <c r="AA231" s="371"/>
    </row>
    <row r="232" spans="1:27" x14ac:dyDescent="0.2">
      <c r="D232" s="377"/>
      <c r="E232" s="402"/>
      <c r="F232" s="377"/>
      <c r="G232" s="371"/>
      <c r="H232" s="371"/>
      <c r="I232" s="371"/>
      <c r="J232" s="371"/>
      <c r="K232" s="371"/>
      <c r="L232" s="371"/>
      <c r="M232" s="371"/>
      <c r="N232" s="371"/>
      <c r="O232" s="371"/>
      <c r="P232" s="371"/>
      <c r="Q232" s="371"/>
      <c r="R232" s="371"/>
      <c r="S232" s="371"/>
      <c r="T232" s="371"/>
      <c r="U232" s="371"/>
      <c r="V232" s="371"/>
      <c r="W232" s="371"/>
      <c r="X232" s="371"/>
      <c r="Y232" s="371"/>
      <c r="Z232" s="371"/>
      <c r="AA232" s="371"/>
    </row>
    <row r="233" spans="1:27" x14ac:dyDescent="0.2">
      <c r="D233" s="388"/>
      <c r="E233" s="388"/>
      <c r="F233" s="388"/>
      <c r="G233" s="371"/>
      <c r="H233" s="371"/>
      <c r="I233" s="371"/>
      <c r="J233" s="371"/>
      <c r="K233" s="371"/>
      <c r="L233" s="371"/>
      <c r="M233" s="371"/>
      <c r="N233" s="371"/>
      <c r="O233" s="371"/>
      <c r="P233" s="371"/>
      <c r="Q233" s="371"/>
      <c r="R233" s="371"/>
      <c r="S233" s="371"/>
      <c r="T233" s="371"/>
      <c r="U233" s="371"/>
      <c r="V233" s="371"/>
      <c r="W233" s="371"/>
      <c r="X233" s="371"/>
      <c r="Y233" s="371"/>
      <c r="Z233" s="371"/>
      <c r="AA233" s="371"/>
    </row>
    <row r="234" spans="1:27" hidden="1" x14ac:dyDescent="0.2">
      <c r="D234" s="388"/>
      <c r="E234" s="388"/>
      <c r="F234" s="388"/>
      <c r="G234" s="371"/>
      <c r="H234" s="371"/>
      <c r="I234" s="371"/>
      <c r="J234" s="371"/>
      <c r="K234" s="371"/>
      <c r="L234" s="371"/>
      <c r="M234" s="371"/>
      <c r="N234" s="371"/>
      <c r="O234" s="371"/>
      <c r="P234" s="371"/>
      <c r="Q234" s="371"/>
      <c r="R234" s="371"/>
      <c r="S234" s="371"/>
      <c r="T234" s="371"/>
      <c r="U234" s="371"/>
      <c r="V234" s="371"/>
      <c r="W234" s="371"/>
      <c r="X234" s="371"/>
      <c r="Y234" s="371"/>
      <c r="Z234" s="371"/>
      <c r="AA234" s="371"/>
    </row>
    <row r="235" spans="1:27" hidden="1" x14ac:dyDescent="0.2">
      <c r="D235" s="364" t="s">
        <v>318</v>
      </c>
      <c r="E235" s="365"/>
      <c r="F235" s="365"/>
      <c r="G235" s="365"/>
      <c r="H235" s="365"/>
      <c r="I235" s="365"/>
      <c r="J235" s="365"/>
      <c r="K235" s="365"/>
      <c r="L235" s="365"/>
      <c r="M235" s="365"/>
      <c r="N235" s="365"/>
      <c r="O235" s="365"/>
      <c r="P235" s="365"/>
      <c r="Q235" s="365"/>
      <c r="R235" s="365"/>
      <c r="S235" s="365"/>
      <c r="T235" s="365"/>
      <c r="U235" s="365"/>
      <c r="V235" s="365"/>
      <c r="W235" s="365"/>
      <c r="X235" s="365"/>
      <c r="Y235" s="365"/>
      <c r="Z235" s="365"/>
      <c r="AA235" s="365"/>
    </row>
    <row r="236" spans="1:27" hidden="1" x14ac:dyDescent="0.2">
      <c r="D236" s="32" t="s">
        <v>132</v>
      </c>
    </row>
    <row r="237" spans="1:27" hidden="1" x14ac:dyDescent="0.2">
      <c r="D237" s="65" t="s">
        <v>64</v>
      </c>
      <c r="E237" s="66">
        <v>500000</v>
      </c>
      <c r="F237" s="65">
        <f>SUM(H237:AA237)</f>
        <v>-500000</v>
      </c>
      <c r="G237" s="286"/>
      <c r="H237" s="287">
        <f>-$E$237/4</f>
        <v>-125000</v>
      </c>
      <c r="I237" s="287">
        <f t="shared" ref="I237:K237" si="161">-$E$237/4</f>
        <v>-125000</v>
      </c>
      <c r="J237" s="287">
        <f t="shared" si="161"/>
        <v>-125000</v>
      </c>
      <c r="K237" s="287">
        <f t="shared" si="161"/>
        <v>-125000</v>
      </c>
      <c r="L237" s="286"/>
      <c r="M237" s="286"/>
      <c r="N237" s="286"/>
      <c r="O237" s="286"/>
      <c r="P237" s="286"/>
      <c r="Q237" s="286"/>
      <c r="R237" s="286"/>
      <c r="S237" s="286"/>
      <c r="T237" s="286"/>
      <c r="U237" s="286"/>
      <c r="V237" s="286"/>
      <c r="W237" s="286"/>
      <c r="X237" s="286"/>
      <c r="Y237" s="286"/>
      <c r="Z237" s="286"/>
      <c r="AA237" s="286"/>
    </row>
    <row r="238" spans="1:27" hidden="1" x14ac:dyDescent="0.2">
      <c r="D238" s="67" t="s">
        <v>65</v>
      </c>
      <c r="E238" s="68">
        <v>500000</v>
      </c>
      <c r="F238" s="67">
        <f t="shared" ref="F238:F241" si="162">SUM(H238:AA238)</f>
        <v>-500000</v>
      </c>
      <c r="G238" s="288"/>
      <c r="H238" s="289">
        <f>-$E$238*0.2</f>
        <v>-100000</v>
      </c>
      <c r="I238" s="289">
        <f>-$E$238*0.2</f>
        <v>-100000</v>
      </c>
      <c r="J238" s="289">
        <f>-$E$238*0.3</f>
        <v>-150000</v>
      </c>
      <c r="K238" s="289">
        <f>-$E$238*0.3</f>
        <v>-150000</v>
      </c>
      <c r="L238" s="288"/>
      <c r="M238" s="288"/>
      <c r="N238" s="288"/>
      <c r="O238" s="288"/>
      <c r="P238" s="288"/>
      <c r="Q238" s="288"/>
      <c r="R238" s="288"/>
      <c r="S238" s="288"/>
      <c r="T238" s="288"/>
      <c r="U238" s="288"/>
      <c r="V238" s="288"/>
      <c r="W238" s="288"/>
      <c r="X238" s="288"/>
      <c r="Y238" s="288"/>
      <c r="Z238" s="288"/>
      <c r="AA238" s="288"/>
    </row>
    <row r="239" spans="1:27" hidden="1" x14ac:dyDescent="0.2">
      <c r="D239" s="67" t="s">
        <v>210</v>
      </c>
      <c r="E239" s="68">
        <f>20000*6</f>
        <v>120000</v>
      </c>
      <c r="F239" s="67">
        <f t="shared" si="162"/>
        <v>-2400000</v>
      </c>
      <c r="G239" s="288"/>
      <c r="H239" s="288">
        <f>-$E$239</f>
        <v>-120000</v>
      </c>
      <c r="I239" s="288">
        <f t="shared" ref="I239:AA239" si="163">-$E$239</f>
        <v>-120000</v>
      </c>
      <c r="J239" s="288">
        <f t="shared" si="163"/>
        <v>-120000</v>
      </c>
      <c r="K239" s="288">
        <f t="shared" si="163"/>
        <v>-120000</v>
      </c>
      <c r="L239" s="288">
        <f t="shared" si="163"/>
        <v>-120000</v>
      </c>
      <c r="M239" s="288">
        <f t="shared" si="163"/>
        <v>-120000</v>
      </c>
      <c r="N239" s="288">
        <f t="shared" si="163"/>
        <v>-120000</v>
      </c>
      <c r="O239" s="288">
        <f t="shared" si="163"/>
        <v>-120000</v>
      </c>
      <c r="P239" s="288">
        <f t="shared" si="163"/>
        <v>-120000</v>
      </c>
      <c r="Q239" s="288">
        <f t="shared" si="163"/>
        <v>-120000</v>
      </c>
      <c r="R239" s="288">
        <f t="shared" si="163"/>
        <v>-120000</v>
      </c>
      <c r="S239" s="288">
        <f t="shared" si="163"/>
        <v>-120000</v>
      </c>
      <c r="T239" s="288">
        <f t="shared" si="163"/>
        <v>-120000</v>
      </c>
      <c r="U239" s="288">
        <f t="shared" si="163"/>
        <v>-120000</v>
      </c>
      <c r="V239" s="288">
        <f t="shared" si="163"/>
        <v>-120000</v>
      </c>
      <c r="W239" s="288">
        <f t="shared" si="163"/>
        <v>-120000</v>
      </c>
      <c r="X239" s="288">
        <f t="shared" si="163"/>
        <v>-120000</v>
      </c>
      <c r="Y239" s="288">
        <f t="shared" si="163"/>
        <v>-120000</v>
      </c>
      <c r="Z239" s="288">
        <f t="shared" si="163"/>
        <v>-120000</v>
      </c>
      <c r="AA239" s="288">
        <f t="shared" si="163"/>
        <v>-120000</v>
      </c>
    </row>
    <row r="240" spans="1:27" hidden="1" x14ac:dyDescent="0.2">
      <c r="D240" s="67" t="s">
        <v>61</v>
      </c>
      <c r="E240" s="68">
        <v>180000</v>
      </c>
      <c r="F240" s="67">
        <f t="shared" si="162"/>
        <v>-3330000</v>
      </c>
      <c r="G240" s="288"/>
      <c r="H240" s="288">
        <f>-$E$240/2</f>
        <v>-90000</v>
      </c>
      <c r="I240" s="288">
        <f>-$E$240/2</f>
        <v>-90000</v>
      </c>
      <c r="J240" s="288">
        <f>-$E$240/2</f>
        <v>-90000</v>
      </c>
      <c r="K240" s="288">
        <f t="shared" ref="K240:AA240" si="164">-$E$240</f>
        <v>-180000</v>
      </c>
      <c r="L240" s="288">
        <f t="shared" si="164"/>
        <v>-180000</v>
      </c>
      <c r="M240" s="288">
        <f t="shared" si="164"/>
        <v>-180000</v>
      </c>
      <c r="N240" s="288">
        <f t="shared" si="164"/>
        <v>-180000</v>
      </c>
      <c r="O240" s="288">
        <f t="shared" si="164"/>
        <v>-180000</v>
      </c>
      <c r="P240" s="288">
        <f t="shared" si="164"/>
        <v>-180000</v>
      </c>
      <c r="Q240" s="288">
        <f t="shared" si="164"/>
        <v>-180000</v>
      </c>
      <c r="R240" s="288">
        <f t="shared" si="164"/>
        <v>-180000</v>
      </c>
      <c r="S240" s="288">
        <f t="shared" si="164"/>
        <v>-180000</v>
      </c>
      <c r="T240" s="288">
        <f t="shared" si="164"/>
        <v>-180000</v>
      </c>
      <c r="U240" s="288">
        <f t="shared" si="164"/>
        <v>-180000</v>
      </c>
      <c r="V240" s="288">
        <f t="shared" si="164"/>
        <v>-180000</v>
      </c>
      <c r="W240" s="288">
        <f t="shared" si="164"/>
        <v>-180000</v>
      </c>
      <c r="X240" s="288">
        <f t="shared" si="164"/>
        <v>-180000</v>
      </c>
      <c r="Y240" s="288">
        <f t="shared" si="164"/>
        <v>-180000</v>
      </c>
      <c r="Z240" s="288">
        <f t="shared" si="164"/>
        <v>-180000</v>
      </c>
      <c r="AA240" s="288">
        <f t="shared" si="164"/>
        <v>-180000</v>
      </c>
    </row>
    <row r="241" spans="3:27" hidden="1" x14ac:dyDescent="0.2">
      <c r="D241" s="69" t="s">
        <v>11</v>
      </c>
      <c r="E241" s="70">
        <f>10000*6</f>
        <v>60000</v>
      </c>
      <c r="F241" s="69">
        <f t="shared" si="162"/>
        <v>-1200000</v>
      </c>
      <c r="G241" s="285"/>
      <c r="H241" s="285">
        <f>-$E$241</f>
        <v>-60000</v>
      </c>
      <c r="I241" s="285">
        <f>-$E$241</f>
        <v>-60000</v>
      </c>
      <c r="J241" s="285">
        <f t="shared" ref="J241:AA241" si="165">-$E$241</f>
        <v>-60000</v>
      </c>
      <c r="K241" s="285">
        <f t="shared" si="165"/>
        <v>-60000</v>
      </c>
      <c r="L241" s="285">
        <f t="shared" si="165"/>
        <v>-60000</v>
      </c>
      <c r="M241" s="285">
        <f t="shared" si="165"/>
        <v>-60000</v>
      </c>
      <c r="N241" s="285">
        <f t="shared" si="165"/>
        <v>-60000</v>
      </c>
      <c r="O241" s="285">
        <f t="shared" si="165"/>
        <v>-60000</v>
      </c>
      <c r="P241" s="285">
        <f t="shared" si="165"/>
        <v>-60000</v>
      </c>
      <c r="Q241" s="285">
        <f t="shared" si="165"/>
        <v>-60000</v>
      </c>
      <c r="R241" s="285">
        <f t="shared" si="165"/>
        <v>-60000</v>
      </c>
      <c r="S241" s="285">
        <f t="shared" si="165"/>
        <v>-60000</v>
      </c>
      <c r="T241" s="285">
        <f t="shared" si="165"/>
        <v>-60000</v>
      </c>
      <c r="U241" s="285">
        <f t="shared" si="165"/>
        <v>-60000</v>
      </c>
      <c r="V241" s="285">
        <f t="shared" si="165"/>
        <v>-60000</v>
      </c>
      <c r="W241" s="285">
        <f t="shared" si="165"/>
        <v>-60000</v>
      </c>
      <c r="X241" s="285">
        <f t="shared" si="165"/>
        <v>-60000</v>
      </c>
      <c r="Y241" s="285">
        <f t="shared" si="165"/>
        <v>-60000</v>
      </c>
      <c r="Z241" s="285">
        <f t="shared" si="165"/>
        <v>-60000</v>
      </c>
      <c r="AA241" s="285">
        <f t="shared" si="165"/>
        <v>-60000</v>
      </c>
    </row>
    <row r="242" spans="3:27" s="41" customFormat="1" hidden="1" x14ac:dyDescent="0.2">
      <c r="C242" s="30"/>
      <c r="D242" s="46" t="s">
        <v>66</v>
      </c>
      <c r="E242" s="46"/>
      <c r="F242" s="46">
        <f>SUM(G242:AA242)</f>
        <v>-7930000</v>
      </c>
      <c r="G242" s="290">
        <f>SUM(G237:G241)</f>
        <v>0</v>
      </c>
      <c r="H242" s="290">
        <f t="shared" ref="H242:AA242" si="166">SUM(H237:H241)</f>
        <v>-495000</v>
      </c>
      <c r="I242" s="290">
        <f t="shared" si="166"/>
        <v>-495000</v>
      </c>
      <c r="J242" s="290">
        <f t="shared" si="166"/>
        <v>-545000</v>
      </c>
      <c r="K242" s="290">
        <f t="shared" si="166"/>
        <v>-635000</v>
      </c>
      <c r="L242" s="290">
        <f t="shared" si="166"/>
        <v>-360000</v>
      </c>
      <c r="M242" s="290">
        <f t="shared" si="166"/>
        <v>-360000</v>
      </c>
      <c r="N242" s="290">
        <f t="shared" si="166"/>
        <v>-360000</v>
      </c>
      <c r="O242" s="290">
        <f t="shared" si="166"/>
        <v>-360000</v>
      </c>
      <c r="P242" s="290">
        <f t="shared" si="166"/>
        <v>-360000</v>
      </c>
      <c r="Q242" s="290">
        <f t="shared" si="166"/>
        <v>-360000</v>
      </c>
      <c r="R242" s="290">
        <f t="shared" si="166"/>
        <v>-360000</v>
      </c>
      <c r="S242" s="290">
        <f t="shared" si="166"/>
        <v>-360000</v>
      </c>
      <c r="T242" s="290">
        <f t="shared" si="166"/>
        <v>-360000</v>
      </c>
      <c r="U242" s="290">
        <f t="shared" si="166"/>
        <v>-360000</v>
      </c>
      <c r="V242" s="290">
        <f t="shared" si="166"/>
        <v>-360000</v>
      </c>
      <c r="W242" s="290">
        <f t="shared" si="166"/>
        <v>-360000</v>
      </c>
      <c r="X242" s="290">
        <f t="shared" si="166"/>
        <v>-360000</v>
      </c>
      <c r="Y242" s="290">
        <f t="shared" si="166"/>
        <v>-360000</v>
      </c>
      <c r="Z242" s="290">
        <f t="shared" si="166"/>
        <v>-360000</v>
      </c>
      <c r="AA242" s="290">
        <f t="shared" si="166"/>
        <v>-360000</v>
      </c>
    </row>
    <row r="243" spans="3:27" hidden="1" x14ac:dyDescent="0.2"/>
    <row r="244" spans="3:27" hidden="1" x14ac:dyDescent="0.2">
      <c r="D244" s="32" t="s">
        <v>8</v>
      </c>
    </row>
    <row r="245" spans="3:27" hidden="1" x14ac:dyDescent="0.2">
      <c r="C245" s="41"/>
      <c r="D245" s="65" t="s">
        <v>12</v>
      </c>
      <c r="E245" s="71">
        <v>0.21</v>
      </c>
      <c r="F245" s="65">
        <f>SUM(G245:AA245)</f>
        <v>-3628467.15</v>
      </c>
      <c r="G245" s="286">
        <f t="shared" ref="G245:AA245" si="167">+$E$245*(+G9+G12+G19+G43+G62++G81+G106++G237+G238+G239/2+G240/2+G241/2)</f>
        <v>0</v>
      </c>
      <c r="H245" s="286">
        <f t="shared" si="167"/>
        <v>-233370.74249999999</v>
      </c>
      <c r="I245" s="286">
        <f t="shared" si="167"/>
        <v>-416599.20749999996</v>
      </c>
      <c r="J245" s="286">
        <f t="shared" si="167"/>
        <v>-858738.19499999995</v>
      </c>
      <c r="K245" s="286">
        <f t="shared" si="167"/>
        <v>-751823.83499999996</v>
      </c>
      <c r="L245" s="286">
        <f t="shared" si="167"/>
        <v>-106616.63249999999</v>
      </c>
      <c r="M245" s="286">
        <f t="shared" si="167"/>
        <v>-106616.63249999999</v>
      </c>
      <c r="N245" s="286">
        <f t="shared" si="167"/>
        <v>-350550.95250000001</v>
      </c>
      <c r="O245" s="286">
        <f t="shared" si="167"/>
        <v>-350550.95250000001</v>
      </c>
      <c r="P245" s="286">
        <f t="shared" si="167"/>
        <v>-37800</v>
      </c>
      <c r="Q245" s="286">
        <f t="shared" si="167"/>
        <v>-37800</v>
      </c>
      <c r="R245" s="286">
        <f t="shared" si="167"/>
        <v>-37800</v>
      </c>
      <c r="S245" s="286">
        <f t="shared" si="167"/>
        <v>-37800</v>
      </c>
      <c r="T245" s="286">
        <f t="shared" si="167"/>
        <v>-37800</v>
      </c>
      <c r="U245" s="286">
        <f t="shared" si="167"/>
        <v>-37800</v>
      </c>
      <c r="V245" s="286">
        <f t="shared" si="167"/>
        <v>-37800</v>
      </c>
      <c r="W245" s="286">
        <f t="shared" si="167"/>
        <v>-37800</v>
      </c>
      <c r="X245" s="286">
        <f t="shared" si="167"/>
        <v>-37800</v>
      </c>
      <c r="Y245" s="286">
        <f t="shared" si="167"/>
        <v>-37800</v>
      </c>
      <c r="Z245" s="286">
        <f t="shared" si="167"/>
        <v>-37800</v>
      </c>
      <c r="AA245" s="286">
        <f t="shared" si="167"/>
        <v>-37800</v>
      </c>
    </row>
    <row r="246" spans="3:27" hidden="1" x14ac:dyDescent="0.2">
      <c r="D246" s="67" t="s">
        <v>5</v>
      </c>
      <c r="E246" s="72">
        <v>0.21</v>
      </c>
      <c r="F246" s="67">
        <f>SUM(G246:AA246)</f>
        <v>1390646.0109212024</v>
      </c>
      <c r="G246" s="288">
        <f t="shared" ref="G246:AA246" si="168">+$E$246*(G33+G58+G77+G91+G114)</f>
        <v>0</v>
      </c>
      <c r="H246" s="288">
        <f t="shared" si="168"/>
        <v>-193373.74601999999</v>
      </c>
      <c r="I246" s="288">
        <f t="shared" si="168"/>
        <v>-193373.74601999999</v>
      </c>
      <c r="J246" s="288">
        <f t="shared" si="168"/>
        <v>-193373.74601999999</v>
      </c>
      <c r="K246" s="288">
        <f t="shared" si="168"/>
        <v>-160329.9663</v>
      </c>
      <c r="L246" s="288">
        <f t="shared" si="168"/>
        <v>106466.86996488911</v>
      </c>
      <c r="M246" s="288">
        <f t="shared" si="168"/>
        <v>115277.17634835582</v>
      </c>
      <c r="N246" s="288">
        <f t="shared" si="168"/>
        <v>-119885.37359266634</v>
      </c>
      <c r="O246" s="288">
        <f t="shared" si="168"/>
        <v>-111390.02785817746</v>
      </c>
      <c r="P246" s="288">
        <f t="shared" si="168"/>
        <v>148500.75114712486</v>
      </c>
      <c r="Q246" s="288">
        <f t="shared" si="168"/>
        <v>152155.30048761374</v>
      </c>
      <c r="R246" s="288">
        <f t="shared" si="168"/>
        <v>161136.69868564332</v>
      </c>
      <c r="S246" s="288">
        <f t="shared" si="168"/>
        <v>161294.17901013221</v>
      </c>
      <c r="T246" s="288">
        <f t="shared" si="168"/>
        <v>165706.13794690254</v>
      </c>
      <c r="U246" s="288">
        <f t="shared" si="168"/>
        <v>165863.61827139146</v>
      </c>
      <c r="V246" s="288">
        <f t="shared" si="168"/>
        <v>170275.57720816182</v>
      </c>
      <c r="W246" s="288">
        <f t="shared" si="168"/>
        <v>174049.07054865072</v>
      </c>
      <c r="X246" s="288">
        <f t="shared" si="168"/>
        <v>207780.72548542102</v>
      </c>
      <c r="Y246" s="288">
        <f t="shared" si="168"/>
        <v>207938.20580990994</v>
      </c>
      <c r="Z246" s="288">
        <f t="shared" si="168"/>
        <v>212885.41274668029</v>
      </c>
      <c r="AA246" s="288">
        <f t="shared" si="168"/>
        <v>213042.89307116918</v>
      </c>
    </row>
    <row r="247" spans="3:27" hidden="1" x14ac:dyDescent="0.2">
      <c r="D247" s="67" t="s">
        <v>4</v>
      </c>
      <c r="E247" s="67"/>
      <c r="F247" s="67">
        <f>SUM(G247:AA247)</f>
        <v>-2237821.1390787982</v>
      </c>
      <c r="G247" s="288">
        <f>+G246+G245</f>
        <v>0</v>
      </c>
      <c r="H247" s="288">
        <f t="shared" ref="H247:AA247" si="169">+H246+H245</f>
        <v>-426744.48852000001</v>
      </c>
      <c r="I247" s="288">
        <f t="shared" si="169"/>
        <v>-609972.95351999998</v>
      </c>
      <c r="J247" s="288">
        <f t="shared" si="169"/>
        <v>-1052111.94102</v>
      </c>
      <c r="K247" s="288">
        <f t="shared" si="169"/>
        <v>-912153.80129999993</v>
      </c>
      <c r="L247" s="288">
        <f t="shared" si="169"/>
        <v>-149.76253511088726</v>
      </c>
      <c r="M247" s="288">
        <f t="shared" si="169"/>
        <v>8660.5438483558246</v>
      </c>
      <c r="N247" s="288">
        <f t="shared" si="169"/>
        <v>-470436.32609266636</v>
      </c>
      <c r="O247" s="288">
        <f t="shared" si="169"/>
        <v>-461940.98035817745</v>
      </c>
      <c r="P247" s="288">
        <f t="shared" si="169"/>
        <v>110700.75114712486</v>
      </c>
      <c r="Q247" s="288">
        <f t="shared" si="169"/>
        <v>114355.30048761374</v>
      </c>
      <c r="R247" s="288">
        <f t="shared" si="169"/>
        <v>123336.69868564332</v>
      </c>
      <c r="S247" s="288">
        <f t="shared" si="169"/>
        <v>123494.17901013221</v>
      </c>
      <c r="T247" s="288">
        <f t="shared" si="169"/>
        <v>127906.13794690254</v>
      </c>
      <c r="U247" s="288">
        <f t="shared" si="169"/>
        <v>128063.61827139146</v>
      </c>
      <c r="V247" s="288">
        <f t="shared" si="169"/>
        <v>132475.57720816182</v>
      </c>
      <c r="W247" s="288">
        <f t="shared" si="169"/>
        <v>136249.07054865072</v>
      </c>
      <c r="X247" s="288">
        <f t="shared" si="169"/>
        <v>169980.72548542102</v>
      </c>
      <c r="Y247" s="288">
        <f t="shared" si="169"/>
        <v>170138.20580990994</v>
      </c>
      <c r="Z247" s="288">
        <f t="shared" si="169"/>
        <v>175085.41274668029</v>
      </c>
      <c r="AA247" s="288">
        <f t="shared" si="169"/>
        <v>175242.89307116918</v>
      </c>
    </row>
    <row r="248" spans="3:27" s="32" customFormat="1" hidden="1" x14ac:dyDescent="0.2">
      <c r="C248" s="30"/>
      <c r="D248" s="69" t="s">
        <v>6</v>
      </c>
      <c r="E248" s="69"/>
      <c r="F248" s="69"/>
      <c r="G248" s="285">
        <f>+G247</f>
        <v>0</v>
      </c>
      <c r="H248" s="285">
        <f>+H247+G248</f>
        <v>-426744.48852000001</v>
      </c>
      <c r="I248" s="285">
        <f t="shared" ref="I248" si="170">+I247+H248</f>
        <v>-1036717.44204</v>
      </c>
      <c r="J248" s="285">
        <f t="shared" ref="J248" si="171">+J247+I248</f>
        <v>-2088829.3830599999</v>
      </c>
      <c r="K248" s="285">
        <f t="shared" ref="K248" si="172">+K247+J248</f>
        <v>-3000983.1843599998</v>
      </c>
      <c r="L248" s="285">
        <f t="shared" ref="L248" si="173">+L247+K248</f>
        <v>-3001132.9468951109</v>
      </c>
      <c r="M248" s="285">
        <f t="shared" ref="M248" si="174">+M247+L248</f>
        <v>-2992472.4030467551</v>
      </c>
      <c r="N248" s="285">
        <f t="shared" ref="N248" si="175">+N247+M248</f>
        <v>-3462908.7291394216</v>
      </c>
      <c r="O248" s="285">
        <f t="shared" ref="O248" si="176">+O247+N248</f>
        <v>-3924849.7094975989</v>
      </c>
      <c r="P248" s="285">
        <f t="shared" ref="P248" si="177">+P247+O248</f>
        <v>-3814148.958350474</v>
      </c>
      <c r="Q248" s="285">
        <f t="shared" ref="Q248" si="178">+Q247+P248</f>
        <v>-3699793.6578628602</v>
      </c>
      <c r="R248" s="285">
        <f t="shared" ref="R248" si="179">+R247+Q248</f>
        <v>-3576456.959177217</v>
      </c>
      <c r="S248" s="285">
        <f t="shared" ref="S248" si="180">+S247+R248</f>
        <v>-3452962.7801670847</v>
      </c>
      <c r="T248" s="285">
        <f t="shared" ref="T248" si="181">+T247+S248</f>
        <v>-3325056.6422201823</v>
      </c>
      <c r="U248" s="285">
        <f t="shared" ref="U248" si="182">+U247+T248</f>
        <v>-3196993.023948791</v>
      </c>
      <c r="V248" s="285">
        <f t="shared" ref="V248" si="183">+V247+U248</f>
        <v>-3064517.4467406292</v>
      </c>
      <c r="W248" s="285">
        <f t="shared" ref="W248" si="184">+W247+V248</f>
        <v>-2928268.3761919783</v>
      </c>
      <c r="X248" s="285">
        <f t="shared" ref="X248" si="185">+X247+W248</f>
        <v>-2758287.6507065576</v>
      </c>
      <c r="Y248" s="285">
        <f t="shared" ref="Y248" si="186">+Y247+X248</f>
        <v>-2588149.4448966477</v>
      </c>
      <c r="Z248" s="285">
        <f t="shared" ref="Z248" si="187">+Z247+Y248</f>
        <v>-2413064.0321499673</v>
      </c>
      <c r="AA248" s="285">
        <f t="shared" ref="AA248" si="188">+AA247+Z248</f>
        <v>-2237821.1390787982</v>
      </c>
    </row>
    <row r="249" spans="3:27" s="41" customFormat="1" hidden="1" x14ac:dyDescent="0.2">
      <c r="C249" s="30"/>
      <c r="D249" s="46" t="s">
        <v>7</v>
      </c>
      <c r="E249" s="46"/>
      <c r="F249" s="46">
        <f>SUM(G249:AA249)</f>
        <v>-2237821.1390787982</v>
      </c>
      <c r="G249" s="290">
        <f>+G248</f>
        <v>0</v>
      </c>
      <c r="H249" s="290">
        <f t="shared" ref="H249" si="189">+IF(H248&lt;0,H247,IF(G248&lt;0,-G248,0))</f>
        <v>-426744.48852000001</v>
      </c>
      <c r="I249" s="290">
        <f t="shared" ref="I249" si="190">+IF(I248&lt;0,I247,IF(H248&lt;0,-H248,0))</f>
        <v>-609972.95351999998</v>
      </c>
      <c r="J249" s="290">
        <f t="shared" ref="J249" si="191">+IF(J248&lt;0,J247,IF(I248&lt;0,-I248,0))</f>
        <v>-1052111.94102</v>
      </c>
      <c r="K249" s="290">
        <f t="shared" ref="K249" si="192">+IF(K248&lt;0,K247,IF(J248&lt;0,-J248,0))</f>
        <v>-912153.80129999993</v>
      </c>
      <c r="L249" s="290">
        <f t="shared" ref="L249" si="193">+IF(L248&lt;0,L247,IF(K248&lt;0,-K248,0))</f>
        <v>-149.76253511088726</v>
      </c>
      <c r="M249" s="290">
        <f t="shared" ref="M249" si="194">+IF(M248&lt;0,M247,IF(L248&lt;0,-L248,0))</f>
        <v>8660.5438483558246</v>
      </c>
      <c r="N249" s="290">
        <f t="shared" ref="N249" si="195">+IF(N248&lt;0,N247,IF(M248&lt;0,-M248,0))</f>
        <v>-470436.32609266636</v>
      </c>
      <c r="O249" s="290">
        <f t="shared" ref="O249" si="196">+IF(O248&lt;0,O247,IF(N248&lt;0,-N248,0))</f>
        <v>-461940.98035817745</v>
      </c>
      <c r="P249" s="290">
        <f t="shared" ref="P249" si="197">+IF(P248&lt;0,P247,IF(O248&lt;0,-O248,0))</f>
        <v>110700.75114712486</v>
      </c>
      <c r="Q249" s="290">
        <f t="shared" ref="Q249" si="198">+IF(Q248&lt;0,Q247,IF(P248&lt;0,-P248,0))</f>
        <v>114355.30048761374</v>
      </c>
      <c r="R249" s="290">
        <f t="shared" ref="R249" si="199">+IF(R248&lt;0,R247,IF(Q248&lt;0,-Q248,0))</f>
        <v>123336.69868564332</v>
      </c>
      <c r="S249" s="290">
        <f t="shared" ref="S249" si="200">+IF(S248&lt;0,S247,IF(R248&lt;0,-R248,0))</f>
        <v>123494.17901013221</v>
      </c>
      <c r="T249" s="290">
        <f t="shared" ref="T249" si="201">+IF(T248&lt;0,T247,IF(S248&lt;0,-S248,0))</f>
        <v>127906.13794690254</v>
      </c>
      <c r="U249" s="290">
        <f t="shared" ref="U249" si="202">+IF(U248&lt;0,U247,IF(T248&lt;0,-T248,0))</f>
        <v>128063.61827139146</v>
      </c>
      <c r="V249" s="290">
        <f t="shared" ref="V249" si="203">+IF(V248&lt;0,V247,IF(U248&lt;0,-U248,0))</f>
        <v>132475.57720816182</v>
      </c>
      <c r="W249" s="290">
        <f t="shared" ref="W249" si="204">+IF(W248&lt;0,W247,IF(V248&lt;0,-V248,0))</f>
        <v>136249.07054865072</v>
      </c>
      <c r="X249" s="290">
        <f t="shared" ref="X249" si="205">+IF(X248&lt;0,X247,IF(W248&lt;0,-W248,0))</f>
        <v>169980.72548542102</v>
      </c>
      <c r="Y249" s="290">
        <f t="shared" ref="Y249" si="206">+IF(Y248&lt;0,Y247,IF(X248&lt;0,-X248,0))</f>
        <v>170138.20580990994</v>
      </c>
      <c r="Z249" s="290">
        <f t="shared" ref="Z249" si="207">+IF(Z248&lt;0,Z247,IF(Y248&lt;0,-Y248,0))</f>
        <v>175085.41274668029</v>
      </c>
      <c r="AA249" s="290">
        <f t="shared" ref="AA249" si="208">+IF(AA248&lt;0,AA247,IF(Z248&lt;0,-Z248,0))</f>
        <v>175242.89307116918</v>
      </c>
    </row>
    <row r="250" spans="3:27" hidden="1" x14ac:dyDescent="0.2"/>
    <row r="251" spans="3:27" ht="16" hidden="1" thickBot="1" x14ac:dyDescent="0.25">
      <c r="D251" s="73" t="s">
        <v>149</v>
      </c>
      <c r="E251" s="73"/>
      <c r="F251" s="73">
        <f ca="1">SUM(G251:AA251)</f>
        <v>3839543.5150438896</v>
      </c>
      <c r="G251" s="291">
        <f t="shared" ref="G251:AA251" si="209">+G249+G242+G121+G117+G94+G36+G12+G9</f>
        <v>0</v>
      </c>
      <c r="H251" s="291">
        <f t="shared" ca="1" si="209"/>
        <v>-2363672.5760486303</v>
      </c>
      <c r="I251" s="291">
        <f t="shared" si="209"/>
        <v>-1107985.1341739381</v>
      </c>
      <c r="J251" s="291">
        <f t="shared" si="209"/>
        <v>-4544037.0878233463</v>
      </c>
      <c r="K251" s="291">
        <f t="shared" si="209"/>
        <v>-3693475.3234356469</v>
      </c>
      <c r="L251" s="291">
        <f t="shared" si="209"/>
        <v>-161888.49365651715</v>
      </c>
      <c r="M251" s="291">
        <f t="shared" si="209"/>
        <v>-779094.10876766965</v>
      </c>
      <c r="N251" s="291">
        <f t="shared" si="209"/>
        <v>1521786.9850491539</v>
      </c>
      <c r="O251" s="291">
        <f t="shared" si="209"/>
        <v>1515166.7351492092</v>
      </c>
      <c r="P251" s="291">
        <f t="shared" si="209"/>
        <v>2867608.1446968894</v>
      </c>
      <c r="Q251" s="291">
        <f t="shared" si="209"/>
        <v>1981190.3522985973</v>
      </c>
      <c r="R251" s="291">
        <f t="shared" si="209"/>
        <v>720064.51707442105</v>
      </c>
      <c r="S251" s="291">
        <f t="shared" si="209"/>
        <v>720971.90370599995</v>
      </c>
      <c r="T251" s="291">
        <f t="shared" si="209"/>
        <v>746393.19091310515</v>
      </c>
      <c r="U251" s="291">
        <f t="shared" si="209"/>
        <v>747300.57754468406</v>
      </c>
      <c r="V251" s="291">
        <f t="shared" si="209"/>
        <v>772721.8647517896</v>
      </c>
      <c r="W251" s="291">
        <f t="shared" si="209"/>
        <v>811683.48359936848</v>
      </c>
      <c r="X251" s="291">
        <f t="shared" si="209"/>
        <v>1006042.0668064738</v>
      </c>
      <c r="Y251" s="291">
        <f t="shared" si="209"/>
        <v>1006949.4534380527</v>
      </c>
      <c r="Z251" s="291">
        <f t="shared" si="209"/>
        <v>1035454.7886451578</v>
      </c>
      <c r="AA251" s="291">
        <f t="shared" si="209"/>
        <v>1036362.1752767367</v>
      </c>
    </row>
    <row r="252" spans="3:27" ht="16" hidden="1" thickTop="1" x14ac:dyDescent="0.2">
      <c r="D252" s="41" t="s">
        <v>6</v>
      </c>
      <c r="E252" s="41"/>
      <c r="F252" s="41"/>
      <c r="G252" s="292">
        <f>+G251</f>
        <v>0</v>
      </c>
      <c r="H252" s="292">
        <f ca="1">+H251+G252</f>
        <v>-2363672.5760486303</v>
      </c>
      <c r="I252" s="292">
        <f t="shared" ref="I252:U252" ca="1" si="210">+I251+H252</f>
        <v>-3471657.7102225684</v>
      </c>
      <c r="J252" s="292">
        <f t="shared" ca="1" si="210"/>
        <v>-8015694.7980459146</v>
      </c>
      <c r="K252" s="292">
        <f t="shared" ca="1" si="210"/>
        <v>-11709170.121481562</v>
      </c>
      <c r="L252" s="292">
        <f t="shared" ca="1" si="210"/>
        <v>-11871058.61513808</v>
      </c>
      <c r="M252" s="292">
        <f t="shared" ca="1" si="210"/>
        <v>-12650152.72390575</v>
      </c>
      <c r="N252" s="292">
        <f t="shared" ca="1" si="210"/>
        <v>-11128365.738856595</v>
      </c>
      <c r="O252" s="292">
        <f t="shared" ca="1" si="210"/>
        <v>-9613199.0037073866</v>
      </c>
      <c r="P252" s="292">
        <f t="shared" ca="1" si="210"/>
        <v>-6745590.8590104971</v>
      </c>
      <c r="Q252" s="292">
        <f t="shared" ca="1" si="210"/>
        <v>-4764400.5067119002</v>
      </c>
      <c r="R252" s="292">
        <f t="shared" ca="1" si="210"/>
        <v>-4044335.9896374792</v>
      </c>
      <c r="S252" s="292">
        <f t="shared" ca="1" si="210"/>
        <v>-3323364.085931479</v>
      </c>
      <c r="T252" s="292">
        <f t="shared" ca="1" si="210"/>
        <v>-2576970.8950183736</v>
      </c>
      <c r="U252" s="292">
        <f t="shared" ca="1" si="210"/>
        <v>-1829670.3174736896</v>
      </c>
      <c r="V252" s="292">
        <f t="shared" ref="V252" ca="1" si="211">+V251+U252</f>
        <v>-1056948.4527218998</v>
      </c>
      <c r="W252" s="292">
        <f t="shared" ref="W252" ca="1" si="212">+W251+V252</f>
        <v>-245264.96912253136</v>
      </c>
      <c r="X252" s="292">
        <f t="shared" ref="X252" ca="1" si="213">+X251+W252</f>
        <v>760777.09768394241</v>
      </c>
      <c r="Y252" s="292">
        <f t="shared" ref="Y252" ca="1" si="214">+Y251+X252</f>
        <v>1767726.5511219951</v>
      </c>
      <c r="Z252" s="292">
        <f t="shared" ref="Z252" ca="1" si="215">+Z251+Y252</f>
        <v>2803181.3397671529</v>
      </c>
      <c r="AA252" s="292">
        <f t="shared" ref="AA252" ca="1" si="216">+AA251+Z252</f>
        <v>3839543.5150438896</v>
      </c>
    </row>
    <row r="253" spans="3:27" hidden="1" x14ac:dyDescent="0.2"/>
    <row r="254" spans="3:27" hidden="1" x14ac:dyDescent="0.2">
      <c r="C254" s="32"/>
      <c r="D254" s="47" t="s">
        <v>134</v>
      </c>
      <c r="E254" s="47"/>
      <c r="F254" s="47">
        <f ca="1">+MIN(G252:AA252)</f>
        <v>-12650152.72390575</v>
      </c>
      <c r="G254" s="76">
        <v>-11418497.48587456</v>
      </c>
      <c r="H254" s="79"/>
    </row>
    <row r="255" spans="3:27" hidden="1" x14ac:dyDescent="0.2">
      <c r="D255" s="74" t="s">
        <v>135</v>
      </c>
      <c r="E255" s="74"/>
      <c r="F255" s="74">
        <f ca="1">+F251</f>
        <v>3839543.5150438896</v>
      </c>
      <c r="G255" s="76">
        <v>28338934.60054753</v>
      </c>
      <c r="H255" s="79"/>
    </row>
    <row r="256" spans="3:27" hidden="1" x14ac:dyDescent="0.2">
      <c r="D256" s="48" t="s">
        <v>15</v>
      </c>
      <c r="E256" s="48"/>
      <c r="F256" s="75">
        <f ca="1">-F255/F254</f>
        <v>0.30351756210722064</v>
      </c>
      <c r="G256" s="77">
        <v>2.4818444489395102</v>
      </c>
      <c r="H256" s="80"/>
    </row>
    <row r="257" spans="3:27" hidden="1" x14ac:dyDescent="0.2"/>
    <row r="258" spans="3:27" hidden="1" x14ac:dyDescent="0.2"/>
    <row r="259" spans="3:27" hidden="1" x14ac:dyDescent="0.2">
      <c r="C259" s="32"/>
    </row>
    <row r="260" spans="3:27" hidden="1" x14ac:dyDescent="0.2">
      <c r="C260" s="41"/>
    </row>
    <row r="261" spans="3:27" hidden="1" x14ac:dyDescent="0.2">
      <c r="D261" s="49" t="s">
        <v>194</v>
      </c>
      <c r="E261" s="262">
        <f>+Masterplan!O57</f>
        <v>25712</v>
      </c>
      <c r="F261" s="263">
        <f>+E261/(Masterplan!O57+Masterplan!O60)</f>
        <v>0.2496116806461634</v>
      </c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  <c r="AA261" s="32"/>
    </row>
    <row r="262" spans="3:27" hidden="1" x14ac:dyDescent="0.2">
      <c r="D262" s="63" t="s">
        <v>191</v>
      </c>
      <c r="E262" s="264">
        <v>100</v>
      </c>
      <c r="F262" s="63">
        <f>SUM(G262:AA262)</f>
        <v>-2571200</v>
      </c>
      <c r="G262" s="293">
        <f>-E262*E261</f>
        <v>-2571200</v>
      </c>
      <c r="H262" s="293"/>
      <c r="I262" s="293"/>
      <c r="J262" s="293"/>
      <c r="K262" s="293"/>
      <c r="L262" s="293"/>
      <c r="M262" s="293"/>
      <c r="N262" s="293"/>
      <c r="O262" s="293"/>
      <c r="P262" s="293"/>
      <c r="Q262" s="293"/>
      <c r="R262" s="293"/>
      <c r="S262" s="293"/>
      <c r="T262" s="293"/>
      <c r="U262" s="293"/>
      <c r="V262" s="293"/>
      <c r="W262" s="293"/>
      <c r="X262" s="293"/>
      <c r="Y262" s="293"/>
      <c r="Z262" s="293"/>
      <c r="AA262" s="293"/>
    </row>
    <row r="263" spans="3:27" hidden="1" x14ac:dyDescent="0.2">
      <c r="D263" s="50" t="s">
        <v>174</v>
      </c>
      <c r="E263" s="50"/>
      <c r="F263" s="50">
        <f>SUM(G263:AA263)</f>
        <v>-1760752.0588692138</v>
      </c>
      <c r="G263" s="294">
        <f t="shared" ref="G263:AA263" si="217">+$F$261*(G237+G12)</f>
        <v>0</v>
      </c>
      <c r="H263" s="294">
        <f t="shared" si="217"/>
        <v>-31201.460080770426</v>
      </c>
      <c r="I263" s="294">
        <f t="shared" si="217"/>
        <v>-194796.08193538367</v>
      </c>
      <c r="J263" s="294">
        <f t="shared" si="217"/>
        <v>-603782.63657191675</v>
      </c>
      <c r="K263" s="294">
        <f t="shared" si="217"/>
        <v>-603782.63657191675</v>
      </c>
      <c r="L263" s="294">
        <f t="shared" si="217"/>
        <v>-81797.310927306622</v>
      </c>
      <c r="M263" s="294">
        <f t="shared" si="217"/>
        <v>-81797.310927306622</v>
      </c>
      <c r="N263" s="294">
        <f t="shared" si="217"/>
        <v>-81797.310927306622</v>
      </c>
      <c r="O263" s="294">
        <f t="shared" si="217"/>
        <v>-81797.310927306622</v>
      </c>
      <c r="P263" s="294">
        <f t="shared" si="217"/>
        <v>0</v>
      </c>
      <c r="Q263" s="294">
        <f t="shared" si="217"/>
        <v>0</v>
      </c>
      <c r="R263" s="294">
        <f t="shared" si="217"/>
        <v>0</v>
      </c>
      <c r="S263" s="294">
        <f t="shared" si="217"/>
        <v>0</v>
      </c>
      <c r="T263" s="294">
        <f t="shared" si="217"/>
        <v>0</v>
      </c>
      <c r="U263" s="294">
        <f t="shared" si="217"/>
        <v>0</v>
      </c>
      <c r="V263" s="294">
        <f t="shared" si="217"/>
        <v>0</v>
      </c>
      <c r="W263" s="294">
        <f t="shared" si="217"/>
        <v>0</v>
      </c>
      <c r="X263" s="294">
        <f t="shared" si="217"/>
        <v>0</v>
      </c>
      <c r="Y263" s="294">
        <f t="shared" si="217"/>
        <v>0</v>
      </c>
      <c r="Z263" s="294">
        <f t="shared" si="217"/>
        <v>0</v>
      </c>
      <c r="AA263" s="294">
        <f t="shared" si="217"/>
        <v>0</v>
      </c>
    </row>
    <row r="264" spans="3:27" hidden="1" x14ac:dyDescent="0.2">
      <c r="D264" s="50" t="s">
        <v>173</v>
      </c>
      <c r="E264" s="50"/>
      <c r="F264" s="50">
        <f t="shared" ref="F264:F266" si="218">SUM(G264:AA264)</f>
        <v>-1854614.7872009932</v>
      </c>
      <c r="G264" s="294">
        <f t="shared" ref="G264:AA264" si="219">+$F$261*(G238+G239+G240+G241)</f>
        <v>0</v>
      </c>
      <c r="H264" s="294">
        <f t="shared" si="219"/>
        <v>-92356.321839080454</v>
      </c>
      <c r="I264" s="294">
        <f t="shared" si="219"/>
        <v>-92356.321839080454</v>
      </c>
      <c r="J264" s="294">
        <f t="shared" si="219"/>
        <v>-104836.90587138863</v>
      </c>
      <c r="K264" s="294">
        <f t="shared" si="219"/>
        <v>-127301.95712954334</v>
      </c>
      <c r="L264" s="294">
        <f t="shared" si="219"/>
        <v>-89860.205032618818</v>
      </c>
      <c r="M264" s="294">
        <f t="shared" si="219"/>
        <v>-89860.205032618818</v>
      </c>
      <c r="N264" s="294">
        <f t="shared" si="219"/>
        <v>-89860.205032618818</v>
      </c>
      <c r="O264" s="294">
        <f t="shared" si="219"/>
        <v>-89860.205032618818</v>
      </c>
      <c r="P264" s="294">
        <f t="shared" si="219"/>
        <v>-89860.205032618818</v>
      </c>
      <c r="Q264" s="294">
        <f t="shared" si="219"/>
        <v>-89860.205032618818</v>
      </c>
      <c r="R264" s="294">
        <f t="shared" si="219"/>
        <v>-89860.205032618818</v>
      </c>
      <c r="S264" s="294">
        <f t="shared" si="219"/>
        <v>-89860.205032618818</v>
      </c>
      <c r="T264" s="294">
        <f t="shared" si="219"/>
        <v>-89860.205032618818</v>
      </c>
      <c r="U264" s="294">
        <f t="shared" si="219"/>
        <v>-89860.205032618818</v>
      </c>
      <c r="V264" s="294">
        <f t="shared" si="219"/>
        <v>-89860.205032618818</v>
      </c>
      <c r="W264" s="294">
        <f t="shared" si="219"/>
        <v>-89860.205032618818</v>
      </c>
      <c r="X264" s="294">
        <f t="shared" si="219"/>
        <v>-89860.205032618818</v>
      </c>
      <c r="Y264" s="294">
        <f t="shared" si="219"/>
        <v>-89860.205032618818</v>
      </c>
      <c r="Z264" s="294">
        <f t="shared" si="219"/>
        <v>-89860.205032618818</v>
      </c>
      <c r="AA264" s="294">
        <f t="shared" si="219"/>
        <v>-89860.205032618818</v>
      </c>
    </row>
    <row r="265" spans="3:27" hidden="1" x14ac:dyDescent="0.2">
      <c r="D265" s="64" t="s">
        <v>190</v>
      </c>
      <c r="E265" s="64"/>
      <c r="F265" s="64">
        <f t="shared" si="218"/>
        <v>6694202.7000507377</v>
      </c>
      <c r="G265" s="295">
        <f t="shared" ref="G265:AA265" si="220">+G9+G36+G94+G117+G249</f>
        <v>0</v>
      </c>
      <c r="H265" s="295">
        <f t="shared" si="220"/>
        <v>-1413234.9865199998</v>
      </c>
      <c r="I265" s="295">
        <f t="shared" si="220"/>
        <v>-1596463.4515199999</v>
      </c>
      <c r="J265" s="295">
        <f t="shared" si="220"/>
        <v>-2734467.4390199999</v>
      </c>
      <c r="K265" s="295">
        <f t="shared" si="220"/>
        <v>-1503438.7352999998</v>
      </c>
      <c r="L265" s="295">
        <f t="shared" si="220"/>
        <v>679026.4285357896</v>
      </c>
      <c r="M265" s="295">
        <f t="shared" si="220"/>
        <v>729790.57484052633</v>
      </c>
      <c r="N265" s="295">
        <f t="shared" si="220"/>
        <v>-869127.96148631559</v>
      </c>
      <c r="O265" s="295">
        <f t="shared" si="220"/>
        <v>-820178.58844473679</v>
      </c>
      <c r="P265" s="295">
        <f t="shared" si="220"/>
        <v>990038.28118105279</v>
      </c>
      <c r="Q265" s="295">
        <f t="shared" si="220"/>
        <v>1028314.5560286316</v>
      </c>
      <c r="R265" s="295">
        <f t="shared" si="220"/>
        <v>1080064.517074421</v>
      </c>
      <c r="S265" s="295">
        <f t="shared" si="220"/>
        <v>1080971.903706</v>
      </c>
      <c r="T265" s="295">
        <f t="shared" si="220"/>
        <v>1106393.1909131052</v>
      </c>
      <c r="U265" s="295">
        <f t="shared" si="220"/>
        <v>1107300.5775446841</v>
      </c>
      <c r="V265" s="295">
        <f t="shared" si="220"/>
        <v>1132721.8647517897</v>
      </c>
      <c r="W265" s="295">
        <f t="shared" si="220"/>
        <v>1171683.4835993685</v>
      </c>
      <c r="X265" s="295">
        <f t="shared" si="220"/>
        <v>1366042.0668064738</v>
      </c>
      <c r="Y265" s="295">
        <f t="shared" si="220"/>
        <v>1366949.4534380527</v>
      </c>
      <c r="Z265" s="295">
        <f t="shared" si="220"/>
        <v>1395454.7886451578</v>
      </c>
      <c r="AA265" s="295">
        <f t="shared" si="220"/>
        <v>1396362.1752767367</v>
      </c>
    </row>
    <row r="266" spans="3:27" ht="16" hidden="1" thickBot="1" x14ac:dyDescent="0.25">
      <c r="D266" s="265" t="s">
        <v>175</v>
      </c>
      <c r="E266" s="265"/>
      <c r="F266" s="265">
        <f t="shared" si="218"/>
        <v>507635.85398053029</v>
      </c>
      <c r="G266" s="296">
        <f>SUM(G262:G265)</f>
        <v>-2571200</v>
      </c>
      <c r="H266" s="296">
        <f t="shared" ref="H266:AA266" si="221">SUM(H262:H265)</f>
        <v>-1536792.7684398508</v>
      </c>
      <c r="I266" s="296">
        <f t="shared" si="221"/>
        <v>-1883615.8552944642</v>
      </c>
      <c r="J266" s="296">
        <f t="shared" si="221"/>
        <v>-3443086.9814633052</v>
      </c>
      <c r="K266" s="296">
        <f t="shared" si="221"/>
        <v>-2234523.3290014598</v>
      </c>
      <c r="L266" s="296">
        <f t="shared" si="221"/>
        <v>507368.91257586417</v>
      </c>
      <c r="M266" s="296">
        <f t="shared" si="221"/>
        <v>558133.05888060085</v>
      </c>
      <c r="N266" s="296">
        <f t="shared" si="221"/>
        <v>-1040785.4774462411</v>
      </c>
      <c r="O266" s="296">
        <f t="shared" si="221"/>
        <v>-991836.10440466227</v>
      </c>
      <c r="P266" s="296">
        <f t="shared" si="221"/>
        <v>900178.07614843396</v>
      </c>
      <c r="Q266" s="296">
        <f t="shared" si="221"/>
        <v>938454.3509960128</v>
      </c>
      <c r="R266" s="296">
        <f t="shared" si="221"/>
        <v>990204.31204180222</v>
      </c>
      <c r="S266" s="296">
        <f t="shared" si="221"/>
        <v>991111.69867338112</v>
      </c>
      <c r="T266" s="296">
        <f t="shared" si="221"/>
        <v>1016532.9858804863</v>
      </c>
      <c r="U266" s="296">
        <f t="shared" si="221"/>
        <v>1017440.3725120652</v>
      </c>
      <c r="V266" s="296">
        <f t="shared" si="221"/>
        <v>1042861.6597191709</v>
      </c>
      <c r="W266" s="296">
        <f t="shared" si="221"/>
        <v>1081823.2785667498</v>
      </c>
      <c r="X266" s="296">
        <f t="shared" si="221"/>
        <v>1276181.8617738551</v>
      </c>
      <c r="Y266" s="296">
        <f t="shared" si="221"/>
        <v>1277089.248405434</v>
      </c>
      <c r="Z266" s="296">
        <f t="shared" si="221"/>
        <v>1305594.5836125391</v>
      </c>
      <c r="AA266" s="296">
        <f t="shared" si="221"/>
        <v>1306501.970244118</v>
      </c>
    </row>
    <row r="267" spans="3:27" ht="16" hidden="1" thickTop="1" x14ac:dyDescent="0.2">
      <c r="C267" s="49"/>
      <c r="D267" s="41" t="s">
        <v>6</v>
      </c>
      <c r="E267" s="41"/>
      <c r="F267" s="41"/>
      <c r="G267" s="292">
        <f>+G266</f>
        <v>-2571200</v>
      </c>
      <c r="H267" s="292">
        <f t="shared" ref="H267:AA267" si="222">+H266+G267</f>
        <v>-4107992.7684398508</v>
      </c>
      <c r="I267" s="292">
        <f t="shared" si="222"/>
        <v>-5991608.6237343149</v>
      </c>
      <c r="J267" s="292">
        <f t="shared" si="222"/>
        <v>-9434695.6051976196</v>
      </c>
      <c r="K267" s="292">
        <f t="shared" si="222"/>
        <v>-11669218.93419908</v>
      </c>
      <c r="L267" s="292">
        <f t="shared" si="222"/>
        <v>-11161850.021623217</v>
      </c>
      <c r="M267" s="292">
        <f t="shared" si="222"/>
        <v>-10603716.962742615</v>
      </c>
      <c r="N267" s="292">
        <f t="shared" si="222"/>
        <v>-11644502.440188857</v>
      </c>
      <c r="O267" s="292">
        <f t="shared" si="222"/>
        <v>-12636338.544593519</v>
      </c>
      <c r="P267" s="292">
        <f t="shared" si="222"/>
        <v>-11736160.468445085</v>
      </c>
      <c r="Q267" s="292">
        <f t="shared" si="222"/>
        <v>-10797706.117449071</v>
      </c>
      <c r="R267" s="292">
        <f t="shared" si="222"/>
        <v>-9807501.8054072689</v>
      </c>
      <c r="S267" s="292">
        <f t="shared" si="222"/>
        <v>-8816390.1067338884</v>
      </c>
      <c r="T267" s="292">
        <f t="shared" si="222"/>
        <v>-7799857.1208534017</v>
      </c>
      <c r="U267" s="292">
        <f t="shared" si="222"/>
        <v>-6782416.7483413368</v>
      </c>
      <c r="V267" s="292">
        <f t="shared" si="222"/>
        <v>-5739555.0886221658</v>
      </c>
      <c r="W267" s="292">
        <f t="shared" si="222"/>
        <v>-4657731.8100554161</v>
      </c>
      <c r="X267" s="292">
        <f t="shared" si="222"/>
        <v>-3381549.948281561</v>
      </c>
      <c r="Y267" s="292">
        <f t="shared" si="222"/>
        <v>-2104460.6998761268</v>
      </c>
      <c r="Z267" s="292">
        <f t="shared" si="222"/>
        <v>-798866.11626358773</v>
      </c>
      <c r="AA267" s="292">
        <f t="shared" si="222"/>
        <v>507635.85398053029</v>
      </c>
    </row>
    <row r="268" spans="3:27" hidden="1" x14ac:dyDescent="0.2"/>
    <row r="269" spans="3:27" hidden="1" x14ac:dyDescent="0.2">
      <c r="D269" s="256" t="s">
        <v>170</v>
      </c>
      <c r="E269" s="256"/>
      <c r="F269" s="257">
        <f>(1+IRR(G266:AA266,0.01))^2-1</f>
        <v>6.4560879176331909E-3</v>
      </c>
    </row>
    <row r="270" spans="3:27" hidden="1" x14ac:dyDescent="0.2">
      <c r="D270" s="258" t="s">
        <v>171</v>
      </c>
      <c r="E270" s="258"/>
      <c r="F270" s="258">
        <f>+MIN(G267:AA267)-G266</f>
        <v>-10065138.544593519</v>
      </c>
    </row>
    <row r="271" spans="3:27" hidden="1" x14ac:dyDescent="0.2">
      <c r="D271" s="30" t="s">
        <v>261</v>
      </c>
      <c r="E271" s="360">
        <v>0.13500000000000001</v>
      </c>
      <c r="F271" s="30">
        <f>NPV((1+E271)^(1/2)-1,H266:AA266)+G266</f>
        <v>-5539545.1351578208</v>
      </c>
    </row>
    <row r="272" spans="3:27" hidden="1" x14ac:dyDescent="0.2">
      <c r="C272" s="32"/>
    </row>
    <row r="273" spans="3:27" hidden="1" x14ac:dyDescent="0.2">
      <c r="C273" s="41"/>
      <c r="E273" s="41">
        <v>17214</v>
      </c>
      <c r="F273" s="41"/>
    </row>
    <row r="274" spans="3:27" hidden="1" x14ac:dyDescent="0.2">
      <c r="D274" s="49" t="s">
        <v>193</v>
      </c>
      <c r="E274" s="262">
        <f>+'[7]Resid - Datos'!$E$33</f>
        <v>19324</v>
      </c>
      <c r="F274" s="263">
        <f>+E274/(Masterplan!O57+Masterplan!O60)</f>
        <v>0.18759707983845914</v>
      </c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</row>
    <row r="275" spans="3:27" hidden="1" x14ac:dyDescent="0.2">
      <c r="D275" s="241" t="str">
        <f>+D262</f>
        <v>Terreno (non cash)</v>
      </c>
      <c r="E275" s="267">
        <v>100</v>
      </c>
      <c r="F275" s="241">
        <f t="shared" ref="F275:F279" si="223">SUM(G275:AA275)</f>
        <v>-1932400</v>
      </c>
      <c r="G275" s="297">
        <f>-E275*E274</f>
        <v>-1932400</v>
      </c>
      <c r="H275" s="297"/>
      <c r="I275" s="297"/>
      <c r="J275" s="297"/>
      <c r="K275" s="297"/>
      <c r="L275" s="297"/>
      <c r="M275" s="297"/>
      <c r="N275" s="297"/>
      <c r="O275" s="297"/>
      <c r="P275" s="297"/>
      <c r="Q275" s="297"/>
      <c r="R275" s="297"/>
      <c r="S275" s="297"/>
      <c r="T275" s="297"/>
      <c r="U275" s="297"/>
      <c r="V275" s="297"/>
      <c r="W275" s="297"/>
      <c r="X275" s="297"/>
      <c r="Y275" s="297"/>
      <c r="Z275" s="297"/>
      <c r="AA275" s="297"/>
    </row>
    <row r="276" spans="3:27" hidden="1" x14ac:dyDescent="0.2">
      <c r="D276" s="242" t="str">
        <f t="shared" ref="D276:D277" si="224">+D263</f>
        <v>Infraestructuras</v>
      </c>
      <c r="E276" s="242"/>
      <c r="F276" s="242">
        <f t="shared" si="223"/>
        <v>-1323303.2352826968</v>
      </c>
      <c r="G276" s="298">
        <f t="shared" ref="G276:AA276" si="225">+$F$274*(G237+G12)</f>
        <v>0</v>
      </c>
      <c r="H276" s="298">
        <f t="shared" si="225"/>
        <v>-23449.634979807393</v>
      </c>
      <c r="I276" s="298">
        <f t="shared" si="225"/>
        <v>-146400.10451615407</v>
      </c>
      <c r="J276" s="298">
        <f t="shared" si="225"/>
        <v>-453776.27835702075</v>
      </c>
      <c r="K276" s="298">
        <f t="shared" si="225"/>
        <v>-453776.27835702075</v>
      </c>
      <c r="L276" s="298">
        <f t="shared" si="225"/>
        <v>-61475.234768173344</v>
      </c>
      <c r="M276" s="298">
        <f t="shared" si="225"/>
        <v>-61475.234768173344</v>
      </c>
      <c r="N276" s="298">
        <f t="shared" si="225"/>
        <v>-61475.234768173344</v>
      </c>
      <c r="O276" s="298">
        <f t="shared" si="225"/>
        <v>-61475.234768173344</v>
      </c>
      <c r="P276" s="298">
        <f t="shared" si="225"/>
        <v>0</v>
      </c>
      <c r="Q276" s="298">
        <f t="shared" si="225"/>
        <v>0</v>
      </c>
      <c r="R276" s="298">
        <f t="shared" si="225"/>
        <v>0</v>
      </c>
      <c r="S276" s="298">
        <f t="shared" si="225"/>
        <v>0</v>
      </c>
      <c r="T276" s="298">
        <f t="shared" si="225"/>
        <v>0</v>
      </c>
      <c r="U276" s="298">
        <f t="shared" si="225"/>
        <v>0</v>
      </c>
      <c r="V276" s="298">
        <f t="shared" si="225"/>
        <v>0</v>
      </c>
      <c r="W276" s="298">
        <f t="shared" si="225"/>
        <v>0</v>
      </c>
      <c r="X276" s="298">
        <f t="shared" si="225"/>
        <v>0</v>
      </c>
      <c r="Y276" s="298">
        <f t="shared" si="225"/>
        <v>0</v>
      </c>
      <c r="Z276" s="298">
        <f t="shared" si="225"/>
        <v>0</v>
      </c>
      <c r="AA276" s="298">
        <f t="shared" si="225"/>
        <v>0</v>
      </c>
    </row>
    <row r="277" spans="3:27" hidden="1" x14ac:dyDescent="0.2">
      <c r="D277" s="242" t="str">
        <f t="shared" si="224"/>
        <v>Publicidad / Administración / Operación</v>
      </c>
      <c r="E277" s="242"/>
      <c r="F277" s="242">
        <f t="shared" si="223"/>
        <v>-1393846.3031997518</v>
      </c>
      <c r="G277" s="298">
        <f t="shared" ref="G277:AA277" si="226">+$F$274*(G238+G239+G240+G241)</f>
        <v>0</v>
      </c>
      <c r="H277" s="298">
        <f t="shared" si="226"/>
        <v>-69410.919540229879</v>
      </c>
      <c r="I277" s="298">
        <f t="shared" si="226"/>
        <v>-69410.919540229879</v>
      </c>
      <c r="J277" s="298">
        <f t="shared" si="226"/>
        <v>-78790.773532152831</v>
      </c>
      <c r="K277" s="298">
        <f t="shared" si="226"/>
        <v>-95674.510717614161</v>
      </c>
      <c r="L277" s="298">
        <f t="shared" si="226"/>
        <v>-67534.948741845292</v>
      </c>
      <c r="M277" s="298">
        <f t="shared" si="226"/>
        <v>-67534.948741845292</v>
      </c>
      <c r="N277" s="298">
        <f t="shared" si="226"/>
        <v>-67534.948741845292</v>
      </c>
      <c r="O277" s="298">
        <f t="shared" si="226"/>
        <v>-67534.948741845292</v>
      </c>
      <c r="P277" s="298">
        <f t="shared" si="226"/>
        <v>-67534.948741845292</v>
      </c>
      <c r="Q277" s="298">
        <f t="shared" si="226"/>
        <v>-67534.948741845292</v>
      </c>
      <c r="R277" s="298">
        <f t="shared" si="226"/>
        <v>-67534.948741845292</v>
      </c>
      <c r="S277" s="298">
        <f t="shared" si="226"/>
        <v>-67534.948741845292</v>
      </c>
      <c r="T277" s="298">
        <f t="shared" si="226"/>
        <v>-67534.948741845292</v>
      </c>
      <c r="U277" s="298">
        <f t="shared" si="226"/>
        <v>-67534.948741845292</v>
      </c>
      <c r="V277" s="298">
        <f t="shared" si="226"/>
        <v>-67534.948741845292</v>
      </c>
      <c r="W277" s="298">
        <f t="shared" si="226"/>
        <v>-67534.948741845292</v>
      </c>
      <c r="X277" s="298">
        <f t="shared" si="226"/>
        <v>-67534.948741845292</v>
      </c>
      <c r="Y277" s="298">
        <f t="shared" si="226"/>
        <v>-67534.948741845292</v>
      </c>
      <c r="Z277" s="298">
        <f t="shared" si="226"/>
        <v>-67534.948741845292</v>
      </c>
      <c r="AA277" s="298">
        <f t="shared" si="226"/>
        <v>-67534.948741845292</v>
      </c>
    </row>
    <row r="278" spans="3:27" hidden="1" x14ac:dyDescent="0.2">
      <c r="D278" s="243" t="s">
        <v>192</v>
      </c>
      <c r="E278" s="243"/>
      <c r="F278" s="243">
        <f t="shared" ca="1" si="223"/>
        <v>11629305.814993154</v>
      </c>
      <c r="G278" s="299">
        <f t="shared" ref="G278:AA278" si="227">+G121</f>
        <v>0</v>
      </c>
      <c r="H278" s="299">
        <f t="shared" ca="1" si="227"/>
        <v>-455437.58952863025</v>
      </c>
      <c r="I278" s="299">
        <f t="shared" si="227"/>
        <v>1638874.8173460618</v>
      </c>
      <c r="J278" s="299">
        <f t="shared" si="227"/>
        <v>1029318.101196654</v>
      </c>
      <c r="K278" s="299">
        <f t="shared" si="227"/>
        <v>738851.16186435288</v>
      </c>
      <c r="L278" s="299">
        <f t="shared" si="227"/>
        <v>-153216.67219230684</v>
      </c>
      <c r="M278" s="299">
        <f t="shared" si="227"/>
        <v>-821186.43360819609</v>
      </c>
      <c r="N278" s="299">
        <f t="shared" si="227"/>
        <v>3078613.1965354695</v>
      </c>
      <c r="O278" s="299">
        <f t="shared" si="227"/>
        <v>3023043.5735939457</v>
      </c>
      <c r="P278" s="299">
        <f t="shared" si="227"/>
        <v>2237569.8635158371</v>
      </c>
      <c r="Q278" s="299">
        <f t="shared" si="227"/>
        <v>1312875.7962699658</v>
      </c>
      <c r="R278" s="299">
        <f t="shared" si="227"/>
        <v>0</v>
      </c>
      <c r="S278" s="299">
        <f t="shared" si="227"/>
        <v>0</v>
      </c>
      <c r="T278" s="299">
        <f t="shared" si="227"/>
        <v>0</v>
      </c>
      <c r="U278" s="299">
        <f t="shared" si="227"/>
        <v>0</v>
      </c>
      <c r="V278" s="299">
        <f t="shared" si="227"/>
        <v>0</v>
      </c>
      <c r="W278" s="299">
        <f t="shared" si="227"/>
        <v>0</v>
      </c>
      <c r="X278" s="299">
        <f t="shared" si="227"/>
        <v>0</v>
      </c>
      <c r="Y278" s="299">
        <f t="shared" si="227"/>
        <v>0</v>
      </c>
      <c r="Z278" s="299">
        <f t="shared" si="227"/>
        <v>0</v>
      </c>
      <c r="AA278" s="299">
        <f t="shared" si="227"/>
        <v>0</v>
      </c>
    </row>
    <row r="279" spans="3:27" ht="16" hidden="1" thickBot="1" x14ac:dyDescent="0.25">
      <c r="D279" s="266" t="s">
        <v>176</v>
      </c>
      <c r="E279" s="266"/>
      <c r="F279" s="266">
        <f t="shared" ca="1" si="223"/>
        <v>6979756.2765107099</v>
      </c>
      <c r="G279" s="300">
        <f>SUM(G275:G278)</f>
        <v>-1932400</v>
      </c>
      <c r="H279" s="300">
        <f t="shared" ref="H279:AA279" ca="1" si="228">SUM(H275:H278)</f>
        <v>-548298.14404866751</v>
      </c>
      <c r="I279" s="300">
        <f t="shared" si="228"/>
        <v>1423063.7932896779</v>
      </c>
      <c r="J279" s="300">
        <f t="shared" si="228"/>
        <v>496751.04930748045</v>
      </c>
      <c r="K279" s="300">
        <f t="shared" si="228"/>
        <v>189400.37278971798</v>
      </c>
      <c r="L279" s="300">
        <f t="shared" si="228"/>
        <v>-282226.85570232547</v>
      </c>
      <c r="M279" s="300">
        <f t="shared" si="228"/>
        <v>-950196.61711821472</v>
      </c>
      <c r="N279" s="300">
        <f t="shared" si="228"/>
        <v>2949603.013025451</v>
      </c>
      <c r="O279" s="300">
        <f t="shared" si="228"/>
        <v>2894033.3900839272</v>
      </c>
      <c r="P279" s="300">
        <f t="shared" si="228"/>
        <v>2170034.9147739918</v>
      </c>
      <c r="Q279" s="300">
        <f t="shared" si="228"/>
        <v>1245340.8475281205</v>
      </c>
      <c r="R279" s="300">
        <f t="shared" si="228"/>
        <v>-67534.948741845292</v>
      </c>
      <c r="S279" s="300">
        <f t="shared" si="228"/>
        <v>-67534.948741845292</v>
      </c>
      <c r="T279" s="300">
        <f t="shared" si="228"/>
        <v>-67534.948741845292</v>
      </c>
      <c r="U279" s="300">
        <f t="shared" si="228"/>
        <v>-67534.948741845292</v>
      </c>
      <c r="V279" s="300">
        <f t="shared" si="228"/>
        <v>-67534.948741845292</v>
      </c>
      <c r="W279" s="300">
        <f t="shared" si="228"/>
        <v>-67534.948741845292</v>
      </c>
      <c r="X279" s="300">
        <f t="shared" si="228"/>
        <v>-67534.948741845292</v>
      </c>
      <c r="Y279" s="300">
        <f t="shared" si="228"/>
        <v>-67534.948741845292</v>
      </c>
      <c r="Z279" s="300">
        <f t="shared" si="228"/>
        <v>-67534.948741845292</v>
      </c>
      <c r="AA279" s="300">
        <f t="shared" si="228"/>
        <v>-67534.948741845292</v>
      </c>
    </row>
    <row r="280" spans="3:27" ht="16" hidden="1" thickTop="1" x14ac:dyDescent="0.2">
      <c r="D280" s="41" t="s">
        <v>6</v>
      </c>
      <c r="E280" s="41"/>
      <c r="F280" s="41"/>
      <c r="G280" s="292">
        <f>+G279</f>
        <v>-1932400</v>
      </c>
      <c r="H280" s="292">
        <f ca="1">+H279+G280</f>
        <v>-2480698.1440486675</v>
      </c>
      <c r="I280" s="292">
        <f t="shared" ref="I280:AA280" ca="1" si="229">+I279+H280</f>
        <v>-1057634.3507589896</v>
      </c>
      <c r="J280" s="292">
        <f t="shared" ca="1" si="229"/>
        <v>-560883.30145150912</v>
      </c>
      <c r="K280" s="292">
        <f t="shared" ca="1" si="229"/>
        <v>-371482.92866179114</v>
      </c>
      <c r="L280" s="292">
        <f t="shared" ca="1" si="229"/>
        <v>-653709.78436411661</v>
      </c>
      <c r="M280" s="292">
        <f t="shared" ca="1" si="229"/>
        <v>-1603906.4014823313</v>
      </c>
      <c r="N280" s="292">
        <f t="shared" ca="1" si="229"/>
        <v>1345696.6115431197</v>
      </c>
      <c r="O280" s="292">
        <f t="shared" ca="1" si="229"/>
        <v>4239730.0016270466</v>
      </c>
      <c r="P280" s="292">
        <f t="shared" ca="1" si="229"/>
        <v>6409764.9164010379</v>
      </c>
      <c r="Q280" s="292">
        <f t="shared" ca="1" si="229"/>
        <v>7655105.7639291584</v>
      </c>
      <c r="R280" s="292">
        <f t="shared" ca="1" si="229"/>
        <v>7587570.8151873136</v>
      </c>
      <c r="S280" s="292">
        <f t="shared" ca="1" si="229"/>
        <v>7520035.8664454687</v>
      </c>
      <c r="T280" s="292">
        <f t="shared" ca="1" si="229"/>
        <v>7452500.9177036239</v>
      </c>
      <c r="U280" s="292">
        <f t="shared" ca="1" si="229"/>
        <v>7384965.968961779</v>
      </c>
      <c r="V280" s="292">
        <f t="shared" ca="1" si="229"/>
        <v>7317431.0202199342</v>
      </c>
      <c r="W280" s="292">
        <f t="shared" ca="1" si="229"/>
        <v>7249896.0714780893</v>
      </c>
      <c r="X280" s="292">
        <f t="shared" ca="1" si="229"/>
        <v>7182361.1227362445</v>
      </c>
      <c r="Y280" s="292">
        <f t="shared" ca="1" si="229"/>
        <v>7114826.1739943996</v>
      </c>
      <c r="Z280" s="292">
        <f t="shared" ca="1" si="229"/>
        <v>7047291.2252525548</v>
      </c>
      <c r="AA280" s="292">
        <f t="shared" ca="1" si="229"/>
        <v>6979756.2765107099</v>
      </c>
    </row>
    <row r="281" spans="3:27" s="239" customFormat="1" hidden="1" x14ac:dyDescent="0.2"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</row>
    <row r="282" spans="3:27" s="41" customFormat="1" hidden="1" x14ac:dyDescent="0.2">
      <c r="C282" s="30"/>
      <c r="D282" s="259" t="s">
        <v>170</v>
      </c>
      <c r="E282" s="259"/>
      <c r="F282" s="260">
        <f ca="1">(1+IRR(G279:AA279,0.01))^2-1</f>
        <v>0.57104816207366227</v>
      </c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</row>
    <row r="283" spans="3:27" s="239" customFormat="1" hidden="1" x14ac:dyDescent="0.2">
      <c r="C283" s="30"/>
      <c r="D283" s="261" t="s">
        <v>171</v>
      </c>
      <c r="E283" s="261"/>
      <c r="F283" s="261">
        <f ca="1">+MIN(G280:AA280)-G279</f>
        <v>-548298.14404866751</v>
      </c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</row>
    <row r="284" spans="3:27" hidden="1" x14ac:dyDescent="0.2">
      <c r="E284" s="360">
        <v>0.13500000000000001</v>
      </c>
      <c r="F284" s="30">
        <f ca="1">NPV((1+E284)^(1/2)-1,H279:AA279)+G279</f>
        <v>3777765.0002737232</v>
      </c>
    </row>
    <row r="285" spans="3:27" hidden="1" x14ac:dyDescent="0.2"/>
    <row r="286" spans="3:27" hidden="1" x14ac:dyDescent="0.2"/>
    <row r="287" spans="3:27" hidden="1" x14ac:dyDescent="0.2">
      <c r="D287" s="32" t="s">
        <v>180</v>
      </c>
      <c r="E287" s="41">
        <f>3*'[7]Resid - Datos'!$E$33</f>
        <v>57972</v>
      </c>
      <c r="F287" s="268">
        <f>+E287/(Masterplan!O60+Masterplan!O57)</f>
        <v>0.56279123951537746</v>
      </c>
    </row>
    <row r="288" spans="3:27" hidden="1" x14ac:dyDescent="0.2">
      <c r="D288" s="43" t="s">
        <v>195</v>
      </c>
      <c r="E288" s="271">
        <v>100</v>
      </c>
      <c r="F288" s="43">
        <f t="shared" ref="F288:F296" si="230">SUM(G288:AA288)</f>
        <v>-5797200</v>
      </c>
      <c r="G288" s="287">
        <f>-E288*E287</f>
        <v>-5797200</v>
      </c>
      <c r="H288" s="287"/>
      <c r="I288" s="287"/>
      <c r="J288" s="287"/>
      <c r="K288" s="287"/>
      <c r="L288" s="287"/>
      <c r="M288" s="287"/>
      <c r="N288" s="287"/>
      <c r="O288" s="287"/>
      <c r="P288" s="287"/>
      <c r="Q288" s="287"/>
      <c r="R288" s="287"/>
      <c r="S288" s="287"/>
      <c r="T288" s="287"/>
      <c r="U288" s="287"/>
      <c r="V288" s="287"/>
      <c r="W288" s="287"/>
      <c r="X288" s="287"/>
      <c r="Y288" s="287"/>
      <c r="Z288" s="287"/>
      <c r="AA288" s="287"/>
    </row>
    <row r="289" spans="3:27" hidden="1" x14ac:dyDescent="0.2">
      <c r="D289" s="44" t="str">
        <f>+D276</f>
        <v>Infraestructuras</v>
      </c>
      <c r="E289" s="44"/>
      <c r="F289" s="44">
        <f t="shared" si="230"/>
        <v>-3969909.7058480894</v>
      </c>
      <c r="G289" s="289">
        <f t="shared" ref="G289:AA289" si="231">+$F$287*(G237+G12)</f>
        <v>0</v>
      </c>
      <c r="H289" s="289">
        <f t="shared" si="231"/>
        <v>-70348.90493942218</v>
      </c>
      <c r="I289" s="289">
        <f t="shared" si="231"/>
        <v>-439200.31354846229</v>
      </c>
      <c r="J289" s="289">
        <f t="shared" si="231"/>
        <v>-1361328.8350710624</v>
      </c>
      <c r="K289" s="289">
        <f t="shared" si="231"/>
        <v>-1361328.8350710624</v>
      </c>
      <c r="L289" s="289">
        <f t="shared" si="231"/>
        <v>-184425.70430452004</v>
      </c>
      <c r="M289" s="289">
        <f t="shared" si="231"/>
        <v>-184425.70430452004</v>
      </c>
      <c r="N289" s="289">
        <f t="shared" si="231"/>
        <v>-184425.70430452004</v>
      </c>
      <c r="O289" s="289">
        <f t="shared" si="231"/>
        <v>-184425.70430452004</v>
      </c>
      <c r="P289" s="289">
        <f t="shared" si="231"/>
        <v>0</v>
      </c>
      <c r="Q289" s="289">
        <f t="shared" si="231"/>
        <v>0</v>
      </c>
      <c r="R289" s="289">
        <f t="shared" si="231"/>
        <v>0</v>
      </c>
      <c r="S289" s="289">
        <f t="shared" si="231"/>
        <v>0</v>
      </c>
      <c r="T289" s="289">
        <f t="shared" si="231"/>
        <v>0</v>
      </c>
      <c r="U289" s="289">
        <f t="shared" si="231"/>
        <v>0</v>
      </c>
      <c r="V289" s="289">
        <f t="shared" si="231"/>
        <v>0</v>
      </c>
      <c r="W289" s="289">
        <f t="shared" si="231"/>
        <v>0</v>
      </c>
      <c r="X289" s="289">
        <f t="shared" si="231"/>
        <v>0</v>
      </c>
      <c r="Y289" s="289">
        <f t="shared" si="231"/>
        <v>0</v>
      </c>
      <c r="Z289" s="289">
        <f t="shared" si="231"/>
        <v>0</v>
      </c>
      <c r="AA289" s="289">
        <f t="shared" si="231"/>
        <v>0</v>
      </c>
    </row>
    <row r="290" spans="3:27" hidden="1" x14ac:dyDescent="0.2">
      <c r="C290" s="41"/>
      <c r="D290" s="45" t="str">
        <f>+D277</f>
        <v>Publicidad / Administración / Operación</v>
      </c>
      <c r="E290" s="45"/>
      <c r="F290" s="45">
        <f t="shared" si="230"/>
        <v>-4181538.9095992558</v>
      </c>
      <c r="G290" s="301">
        <f t="shared" ref="G290:AA290" si="232">+$F$287*(G238+G239+G240+G241)</f>
        <v>0</v>
      </c>
      <c r="H290" s="301">
        <f t="shared" si="232"/>
        <v>-208232.75862068965</v>
      </c>
      <c r="I290" s="301">
        <f t="shared" si="232"/>
        <v>-208232.75862068965</v>
      </c>
      <c r="J290" s="301">
        <f t="shared" si="232"/>
        <v>-236372.32059645854</v>
      </c>
      <c r="K290" s="301">
        <f t="shared" si="232"/>
        <v>-287023.5321528425</v>
      </c>
      <c r="L290" s="301">
        <f t="shared" si="232"/>
        <v>-202604.84622553588</v>
      </c>
      <c r="M290" s="301">
        <f t="shared" si="232"/>
        <v>-202604.84622553588</v>
      </c>
      <c r="N290" s="301">
        <f t="shared" si="232"/>
        <v>-202604.84622553588</v>
      </c>
      <c r="O290" s="301">
        <f t="shared" si="232"/>
        <v>-202604.84622553588</v>
      </c>
      <c r="P290" s="301">
        <f t="shared" si="232"/>
        <v>-202604.84622553588</v>
      </c>
      <c r="Q290" s="301">
        <f t="shared" si="232"/>
        <v>-202604.84622553588</v>
      </c>
      <c r="R290" s="301">
        <f t="shared" si="232"/>
        <v>-202604.84622553588</v>
      </c>
      <c r="S290" s="301">
        <f t="shared" si="232"/>
        <v>-202604.84622553588</v>
      </c>
      <c r="T290" s="301">
        <f t="shared" si="232"/>
        <v>-202604.84622553588</v>
      </c>
      <c r="U290" s="301">
        <f t="shared" si="232"/>
        <v>-202604.84622553588</v>
      </c>
      <c r="V290" s="301">
        <f t="shared" si="232"/>
        <v>-202604.84622553588</v>
      </c>
      <c r="W290" s="301">
        <f t="shared" si="232"/>
        <v>-202604.84622553588</v>
      </c>
      <c r="X290" s="301">
        <f t="shared" si="232"/>
        <v>-202604.84622553588</v>
      </c>
      <c r="Y290" s="301">
        <f t="shared" si="232"/>
        <v>-202604.84622553588</v>
      </c>
      <c r="Z290" s="301">
        <f t="shared" si="232"/>
        <v>-202604.84622553588</v>
      </c>
      <c r="AA290" s="301">
        <f t="shared" si="232"/>
        <v>-202604.84622553588</v>
      </c>
    </row>
    <row r="291" spans="3:27" hidden="1" x14ac:dyDescent="0.2">
      <c r="D291" s="43" t="s">
        <v>177</v>
      </c>
      <c r="E291" s="43"/>
      <c r="F291" s="43"/>
      <c r="G291" s="287"/>
      <c r="H291" s="287"/>
      <c r="I291" s="287"/>
      <c r="J291" s="287"/>
      <c r="K291" s="287"/>
      <c r="L291" s="287"/>
      <c r="M291" s="287"/>
      <c r="N291" s="287"/>
      <c r="O291" s="287"/>
      <c r="P291" s="287"/>
      <c r="Q291" s="287"/>
      <c r="R291" s="287"/>
      <c r="S291" s="287"/>
      <c r="T291" s="287"/>
      <c r="U291" s="287"/>
      <c r="V291" s="287"/>
      <c r="W291" s="287"/>
      <c r="X291" s="287"/>
      <c r="Y291" s="287"/>
      <c r="Z291" s="287"/>
      <c r="AA291" s="287"/>
    </row>
    <row r="292" spans="3:27" hidden="1" x14ac:dyDescent="0.2">
      <c r="D292" s="272" t="s">
        <v>178</v>
      </c>
      <c r="E292" s="44"/>
      <c r="F292" s="273">
        <f t="shared" si="230"/>
        <v>1</v>
      </c>
      <c r="G292" s="273"/>
      <c r="H292" s="273"/>
      <c r="I292" s="273"/>
      <c r="J292" s="273"/>
      <c r="K292" s="319">
        <v>0.125</v>
      </c>
      <c r="L292" s="319">
        <v>0.125</v>
      </c>
      <c r="M292" s="319">
        <v>0.125</v>
      </c>
      <c r="N292" s="319">
        <v>0.125</v>
      </c>
      <c r="O292" s="319">
        <v>0.125</v>
      </c>
      <c r="P292" s="319">
        <v>0.125</v>
      </c>
      <c r="Q292" s="319">
        <v>0.125</v>
      </c>
      <c r="R292" s="319">
        <v>0.125</v>
      </c>
      <c r="S292" s="273"/>
      <c r="T292" s="273"/>
      <c r="U292" s="273"/>
      <c r="V292" s="273"/>
      <c r="W292" s="273"/>
      <c r="X292" s="273"/>
      <c r="Y292" s="273"/>
      <c r="Z292" s="273"/>
      <c r="AA292" s="273"/>
    </row>
    <row r="293" spans="3:27" hidden="1" x14ac:dyDescent="0.2">
      <c r="D293" s="272"/>
      <c r="E293" s="44"/>
      <c r="F293" s="273"/>
      <c r="G293" s="273"/>
      <c r="H293" s="273"/>
      <c r="I293" s="273"/>
      <c r="J293" s="273"/>
      <c r="K293" s="319"/>
      <c r="L293" s="319"/>
      <c r="M293" s="319"/>
      <c r="N293" s="319"/>
      <c r="O293" s="319"/>
      <c r="P293" s="319"/>
      <c r="Q293" s="319"/>
      <c r="R293" s="319"/>
      <c r="S293" s="273"/>
      <c r="T293" s="273"/>
      <c r="U293" s="273"/>
      <c r="V293" s="273"/>
      <c r="W293" s="273"/>
      <c r="X293" s="273"/>
      <c r="Y293" s="273"/>
      <c r="Z293" s="273"/>
      <c r="AA293" s="273"/>
    </row>
    <row r="294" spans="3:27" hidden="1" x14ac:dyDescent="0.2">
      <c r="D294" s="272" t="s">
        <v>179</v>
      </c>
      <c r="E294" s="44"/>
      <c r="F294" s="44">
        <f>+F295/E287</f>
        <v>387.5</v>
      </c>
      <c r="G294" s="320"/>
      <c r="H294" s="320"/>
      <c r="I294" s="320"/>
      <c r="J294" s="320"/>
      <c r="K294" s="321">
        <v>300</v>
      </c>
      <c r="L294" s="321">
        <v>325</v>
      </c>
      <c r="M294" s="321">
        <v>350</v>
      </c>
      <c r="N294" s="321">
        <v>375</v>
      </c>
      <c r="O294" s="321">
        <v>400</v>
      </c>
      <c r="P294" s="321">
        <v>425</v>
      </c>
      <c r="Q294" s="321">
        <v>450</v>
      </c>
      <c r="R294" s="321">
        <v>475</v>
      </c>
      <c r="S294" s="320"/>
      <c r="T294" s="320"/>
      <c r="U294" s="320"/>
      <c r="V294" s="320"/>
      <c r="W294" s="320"/>
      <c r="X294" s="320"/>
      <c r="Y294" s="320"/>
      <c r="Z294" s="320"/>
      <c r="AA294" s="320"/>
    </row>
    <row r="295" spans="3:27" hidden="1" x14ac:dyDescent="0.2">
      <c r="D295" s="274" t="s">
        <v>2</v>
      </c>
      <c r="E295" s="45"/>
      <c r="F295" s="45">
        <f t="shared" si="230"/>
        <v>22464150</v>
      </c>
      <c r="G295" s="301"/>
      <c r="H295" s="301"/>
      <c r="I295" s="301"/>
      <c r="J295" s="301"/>
      <c r="K295" s="301">
        <f>+K294*K292*$E$287</f>
        <v>2173950</v>
      </c>
      <c r="L295" s="301">
        <f t="shared" ref="L295:R295" si="233">+L294*L292*$E$287</f>
        <v>2355112.5</v>
      </c>
      <c r="M295" s="301">
        <f t="shared" si="233"/>
        <v>2536275</v>
      </c>
      <c r="N295" s="301">
        <f t="shared" si="233"/>
        <v>2717437.5</v>
      </c>
      <c r="O295" s="301">
        <f t="shared" si="233"/>
        <v>2898600</v>
      </c>
      <c r="P295" s="301">
        <f t="shared" si="233"/>
        <v>3079762.5</v>
      </c>
      <c r="Q295" s="301">
        <f t="shared" si="233"/>
        <v>3260925</v>
      </c>
      <c r="R295" s="301">
        <f t="shared" si="233"/>
        <v>3442087.5</v>
      </c>
      <c r="S295" s="301"/>
      <c r="T295" s="301"/>
      <c r="U295" s="301"/>
      <c r="V295" s="301"/>
      <c r="W295" s="301"/>
      <c r="X295" s="301"/>
      <c r="Y295" s="301"/>
      <c r="Z295" s="301"/>
      <c r="AA295" s="301"/>
    </row>
    <row r="296" spans="3:27" ht="16" hidden="1" thickBot="1" x14ac:dyDescent="0.25">
      <c r="C296" s="32"/>
      <c r="D296" s="270" t="s">
        <v>181</v>
      </c>
      <c r="E296" s="270"/>
      <c r="F296" s="270">
        <f t="shared" si="230"/>
        <v>8515501.3845526595</v>
      </c>
      <c r="G296" s="302">
        <f t="shared" ref="G296:AA296" si="234">+G288+G289+G290+G295</f>
        <v>-5797200</v>
      </c>
      <c r="H296" s="302">
        <f t="shared" si="234"/>
        <v>-278581.66356011183</v>
      </c>
      <c r="I296" s="302">
        <f t="shared" si="234"/>
        <v>-647433.07216915197</v>
      </c>
      <c r="J296" s="302">
        <f t="shared" si="234"/>
        <v>-1597701.1556675211</v>
      </c>
      <c r="K296" s="302">
        <f t="shared" si="234"/>
        <v>525597.63277609507</v>
      </c>
      <c r="L296" s="302">
        <f t="shared" si="234"/>
        <v>1968081.949469944</v>
      </c>
      <c r="M296" s="302">
        <f t="shared" si="234"/>
        <v>2149244.449469944</v>
      </c>
      <c r="N296" s="302">
        <f t="shared" si="234"/>
        <v>2330406.949469944</v>
      </c>
      <c r="O296" s="302">
        <f t="shared" si="234"/>
        <v>2511569.449469944</v>
      </c>
      <c r="P296" s="302">
        <f t="shared" si="234"/>
        <v>2877157.653774464</v>
      </c>
      <c r="Q296" s="302">
        <f t="shared" si="234"/>
        <v>3058320.153774464</v>
      </c>
      <c r="R296" s="302">
        <f t="shared" si="234"/>
        <v>3239482.653774464</v>
      </c>
      <c r="S296" s="302">
        <f t="shared" si="234"/>
        <v>-202604.84622553588</v>
      </c>
      <c r="T296" s="302">
        <f t="shared" si="234"/>
        <v>-202604.84622553588</v>
      </c>
      <c r="U296" s="302">
        <f t="shared" si="234"/>
        <v>-202604.84622553588</v>
      </c>
      <c r="V296" s="302">
        <f t="shared" si="234"/>
        <v>-202604.84622553588</v>
      </c>
      <c r="W296" s="302">
        <f t="shared" si="234"/>
        <v>-202604.84622553588</v>
      </c>
      <c r="X296" s="302">
        <f t="shared" si="234"/>
        <v>-202604.84622553588</v>
      </c>
      <c r="Y296" s="302">
        <f t="shared" si="234"/>
        <v>-202604.84622553588</v>
      </c>
      <c r="Z296" s="302">
        <f t="shared" si="234"/>
        <v>-202604.84622553588</v>
      </c>
      <c r="AA296" s="302">
        <f t="shared" si="234"/>
        <v>-202604.84622553588</v>
      </c>
    </row>
    <row r="297" spans="3:27" ht="16" hidden="1" thickTop="1" x14ac:dyDescent="0.2">
      <c r="C297" s="41"/>
      <c r="D297" s="41" t="s">
        <v>6</v>
      </c>
      <c r="E297" s="41"/>
      <c r="F297" s="41"/>
      <c r="G297" s="292">
        <f>+G296</f>
        <v>-5797200</v>
      </c>
      <c r="H297" s="292">
        <f>+H296+G297</f>
        <v>-6075781.663560112</v>
      </c>
      <c r="I297" s="292">
        <f t="shared" ref="I297" si="235">+I296+H297</f>
        <v>-6723214.7357292641</v>
      </c>
      <c r="J297" s="292">
        <f t="shared" ref="J297" si="236">+J296+I297</f>
        <v>-8320915.8913967852</v>
      </c>
      <c r="K297" s="292">
        <f t="shared" ref="K297" si="237">+K296+J297</f>
        <v>-7795318.2586206906</v>
      </c>
      <c r="L297" s="292">
        <f t="shared" ref="L297" si="238">+L296+K297</f>
        <v>-5827236.3091507461</v>
      </c>
      <c r="M297" s="292">
        <f t="shared" ref="M297" si="239">+M296+L297</f>
        <v>-3677991.8596808021</v>
      </c>
      <c r="N297" s="292">
        <f t="shared" ref="N297" si="240">+N296+M297</f>
        <v>-1347584.9102108581</v>
      </c>
      <c r="O297" s="292">
        <f t="shared" ref="O297" si="241">+O296+N297</f>
        <v>1163984.5392590859</v>
      </c>
      <c r="P297" s="292">
        <f t="shared" ref="P297" si="242">+P296+O297</f>
        <v>4041142.1930335499</v>
      </c>
      <c r="Q297" s="292">
        <f t="shared" ref="Q297" si="243">+Q296+P297</f>
        <v>7099462.3468080144</v>
      </c>
      <c r="R297" s="292">
        <f t="shared" ref="R297" si="244">+R296+Q297</f>
        <v>10338945.000582479</v>
      </c>
      <c r="S297" s="292">
        <f t="shared" ref="S297" si="245">+S296+R297</f>
        <v>10136340.154356943</v>
      </c>
      <c r="T297" s="292">
        <f t="shared" ref="T297" si="246">+T296+S297</f>
        <v>9933735.3081314079</v>
      </c>
      <c r="U297" s="292">
        <f t="shared" ref="U297" si="247">+U296+T297</f>
        <v>9731130.4619058724</v>
      </c>
      <c r="V297" s="292">
        <f t="shared" ref="V297" si="248">+V296+U297</f>
        <v>9528525.615680337</v>
      </c>
      <c r="W297" s="292">
        <f t="shared" ref="W297" si="249">+W296+V297</f>
        <v>9325920.7694548015</v>
      </c>
      <c r="X297" s="292">
        <f t="shared" ref="X297" si="250">+X296+W297</f>
        <v>9123315.923229266</v>
      </c>
      <c r="Y297" s="292">
        <f t="shared" ref="Y297" si="251">+Y296+X297</f>
        <v>8920711.0770037305</v>
      </c>
      <c r="Z297" s="292">
        <f t="shared" ref="Z297" si="252">+Z296+Y297</f>
        <v>8718106.230778195</v>
      </c>
      <c r="AA297" s="292">
        <f t="shared" ref="AA297" si="253">+AA296+Z297</f>
        <v>8515501.3845526595</v>
      </c>
    </row>
    <row r="298" spans="3:27" hidden="1" x14ac:dyDescent="0.2"/>
    <row r="299" spans="3:27" hidden="1" x14ac:dyDescent="0.2">
      <c r="D299" s="279" t="s">
        <v>170</v>
      </c>
      <c r="E299" s="279"/>
      <c r="F299" s="280">
        <f>(1+IRR(G296:AA296,0.01))^2-1</f>
        <v>0.23244798121608468</v>
      </c>
    </row>
    <row r="300" spans="3:27" hidden="1" x14ac:dyDescent="0.2">
      <c r="D300" s="281" t="s">
        <v>171</v>
      </c>
      <c r="E300" s="281"/>
      <c r="F300" s="281">
        <f>+MIN(G297:AA297)-G296</f>
        <v>-2523715.8913967852</v>
      </c>
    </row>
    <row r="301" spans="3:27" hidden="1" x14ac:dyDescent="0.2">
      <c r="E301" s="360">
        <v>0.13500000000000001</v>
      </c>
      <c r="F301" s="30">
        <f>NPV((1+E301)^(1/2)-1,H296:AA296)+G296</f>
        <v>2565427.3041620832</v>
      </c>
    </row>
    <row r="302" spans="3:27" hidden="1" x14ac:dyDescent="0.2"/>
    <row r="303" spans="3:27" ht="16" hidden="1" thickBot="1" x14ac:dyDescent="0.25">
      <c r="D303" s="275" t="s">
        <v>182</v>
      </c>
      <c r="E303" s="275"/>
      <c r="F303" s="275">
        <f t="shared" ref="F303" ca="1" si="254">SUM(G303:AA303)</f>
        <v>16002893.515043896</v>
      </c>
      <c r="G303" s="303">
        <f t="shared" ref="G303:AA303" si="255">+G296+G279+G266</f>
        <v>-10300800</v>
      </c>
      <c r="H303" s="303">
        <f t="shared" ca="1" si="255"/>
        <v>-2363672.5760486303</v>
      </c>
      <c r="I303" s="303">
        <f t="shared" si="255"/>
        <v>-1107985.1341739381</v>
      </c>
      <c r="J303" s="303">
        <f t="shared" si="255"/>
        <v>-4544037.0878233463</v>
      </c>
      <c r="K303" s="303">
        <f t="shared" si="255"/>
        <v>-1519525.3234356467</v>
      </c>
      <c r="L303" s="303">
        <f t="shared" si="255"/>
        <v>2193224.0063434825</v>
      </c>
      <c r="M303" s="303">
        <f t="shared" si="255"/>
        <v>1757180.8912323301</v>
      </c>
      <c r="N303" s="303">
        <f t="shared" si="255"/>
        <v>4239224.4850491537</v>
      </c>
      <c r="O303" s="303">
        <f t="shared" si="255"/>
        <v>4413766.7351492085</v>
      </c>
      <c r="P303" s="303">
        <f t="shared" si="255"/>
        <v>5947370.6446968894</v>
      </c>
      <c r="Q303" s="303">
        <f t="shared" si="255"/>
        <v>5242115.3522985978</v>
      </c>
      <c r="R303" s="303">
        <f t="shared" si="255"/>
        <v>4162152.017074421</v>
      </c>
      <c r="S303" s="303">
        <f t="shared" si="255"/>
        <v>720971.90370599995</v>
      </c>
      <c r="T303" s="303">
        <f t="shared" si="255"/>
        <v>746393.19091310515</v>
      </c>
      <c r="U303" s="303">
        <f t="shared" si="255"/>
        <v>747300.57754468406</v>
      </c>
      <c r="V303" s="303">
        <f t="shared" si="255"/>
        <v>772721.86475178972</v>
      </c>
      <c r="W303" s="303">
        <f t="shared" si="255"/>
        <v>811683.4835993686</v>
      </c>
      <c r="X303" s="303">
        <f t="shared" si="255"/>
        <v>1006042.0668064739</v>
      </c>
      <c r="Y303" s="303">
        <f t="shared" si="255"/>
        <v>1006949.4534380528</v>
      </c>
      <c r="Z303" s="303">
        <f t="shared" si="255"/>
        <v>1035454.7886451579</v>
      </c>
      <c r="AA303" s="303">
        <f t="shared" si="255"/>
        <v>1036362.1752767368</v>
      </c>
    </row>
    <row r="304" spans="3:27" ht="16" hidden="1" thickTop="1" x14ac:dyDescent="0.2">
      <c r="D304" s="41" t="s">
        <v>6</v>
      </c>
      <c r="E304" s="41"/>
      <c r="F304" s="41"/>
      <c r="G304" s="292">
        <f>+G303</f>
        <v>-10300800</v>
      </c>
      <c r="H304" s="292">
        <f ca="1">+H303+G304</f>
        <v>-12664472.576048631</v>
      </c>
      <c r="I304" s="292">
        <f t="shared" ref="I304" ca="1" si="256">+I303+H304</f>
        <v>-13772457.710222568</v>
      </c>
      <c r="J304" s="292">
        <f t="shared" ref="J304" ca="1" si="257">+J303+I304</f>
        <v>-18316494.798045915</v>
      </c>
      <c r="K304" s="292">
        <f t="shared" ref="K304" ca="1" si="258">+K303+J304</f>
        <v>-19836020.12148156</v>
      </c>
      <c r="L304" s="292">
        <f t="shared" ref="L304" ca="1" si="259">+L303+K304</f>
        <v>-17642796.115138076</v>
      </c>
      <c r="M304" s="292">
        <f t="shared" ref="M304" ca="1" si="260">+M303+L304</f>
        <v>-15885615.223905746</v>
      </c>
      <c r="N304" s="292">
        <f t="shared" ref="N304" ca="1" si="261">+N303+M304</f>
        <v>-11646390.738856591</v>
      </c>
      <c r="O304" s="292">
        <f t="shared" ref="O304" ca="1" si="262">+O303+N304</f>
        <v>-7232624.0037073828</v>
      </c>
      <c r="P304" s="292">
        <f t="shared" ref="P304" ca="1" si="263">+P303+O304</f>
        <v>-1285253.3590104934</v>
      </c>
      <c r="Q304" s="292">
        <f t="shared" ref="Q304" ca="1" si="264">+Q303+P304</f>
        <v>3956861.9932881044</v>
      </c>
      <c r="R304" s="292">
        <f t="shared" ref="R304" ca="1" si="265">+R303+Q304</f>
        <v>8119014.0103625255</v>
      </c>
      <c r="S304" s="292">
        <f t="shared" ref="S304" ca="1" si="266">+S303+R304</f>
        <v>8839985.9140685257</v>
      </c>
      <c r="T304" s="292">
        <f t="shared" ref="T304" ca="1" si="267">+T303+S304</f>
        <v>9586379.104981631</v>
      </c>
      <c r="U304" s="292">
        <f t="shared" ref="U304" ca="1" si="268">+U303+T304</f>
        <v>10333679.682526315</v>
      </c>
      <c r="V304" s="292">
        <f t="shared" ref="V304" ca="1" si="269">+V303+U304</f>
        <v>11106401.547278104</v>
      </c>
      <c r="W304" s="292">
        <f t="shared" ref="W304" ca="1" si="270">+W303+V304</f>
        <v>11918085.030877473</v>
      </c>
      <c r="X304" s="292">
        <f t="shared" ref="X304" ca="1" si="271">+X303+W304</f>
        <v>12924127.097683948</v>
      </c>
      <c r="Y304" s="292">
        <f t="shared" ref="Y304" ca="1" si="272">+Y303+X304</f>
        <v>13931076.551122</v>
      </c>
      <c r="Z304" s="292">
        <f t="shared" ref="Z304" ca="1" si="273">+Z303+Y304</f>
        <v>14966531.339767158</v>
      </c>
      <c r="AA304" s="292">
        <f t="shared" ref="AA304" ca="1" si="274">+AA303+Z304</f>
        <v>16002893.515043896</v>
      </c>
    </row>
    <row r="305" spans="4:7" hidden="1" x14ac:dyDescent="0.2"/>
    <row r="306" spans="4:7" hidden="1" x14ac:dyDescent="0.2">
      <c r="D306" s="276" t="s">
        <v>170</v>
      </c>
      <c r="E306" s="276"/>
      <c r="F306" s="277">
        <f ca="1">(1+IRR(G303:AA303,0.01))^2-1</f>
        <v>0.14669491259843959</v>
      </c>
      <c r="G306" s="78">
        <v>0.22002294616254847</v>
      </c>
    </row>
    <row r="307" spans="4:7" hidden="1" x14ac:dyDescent="0.2">
      <c r="D307" s="282" t="s">
        <v>171</v>
      </c>
      <c r="E307" s="282"/>
      <c r="F307" s="282">
        <f ca="1">+F308-G303</f>
        <v>-9535220.1214815602</v>
      </c>
      <c r="G307" s="304">
        <v>-8223816.6928922646</v>
      </c>
    </row>
    <row r="308" spans="4:7" hidden="1" x14ac:dyDescent="0.2">
      <c r="D308" s="278" t="s">
        <v>188</v>
      </c>
      <c r="E308" s="278"/>
      <c r="F308" s="278">
        <f ca="1">+MIN(G304:AA304)</f>
        <v>-19836020.12148156</v>
      </c>
      <c r="G308" s="304">
        <v>-18735616.692892265</v>
      </c>
    </row>
    <row r="309" spans="4:7" hidden="1" x14ac:dyDescent="0.2">
      <c r="E309" s="360">
        <v>0.13500000000000001</v>
      </c>
      <c r="F309" s="30">
        <f ca="1">NPV((1+E309)^(1/2)-1,H303:AA303)+G303</f>
        <v>803647.16927798837</v>
      </c>
    </row>
    <row r="310" spans="4:7" hidden="1" x14ac:dyDescent="0.2"/>
    <row r="311" spans="4:7" hidden="1" x14ac:dyDescent="0.2">
      <c r="D311" s="269" t="s">
        <v>189</v>
      </c>
      <c r="E311" s="269"/>
      <c r="F311" s="269">
        <v>540000</v>
      </c>
    </row>
    <row r="312" spans="4:7" hidden="1" x14ac:dyDescent="0.2">
      <c r="D312" s="269" t="s">
        <v>184</v>
      </c>
      <c r="E312" s="269"/>
      <c r="F312" s="269">
        <f>+E287+E274+E261</f>
        <v>103008</v>
      </c>
    </row>
    <row r="313" spans="4:7" hidden="1" x14ac:dyDescent="0.2">
      <c r="D313" s="269" t="s">
        <v>183</v>
      </c>
      <c r="E313" s="269">
        <f>+F313/540000</f>
        <v>74.074074074074076</v>
      </c>
      <c r="F313" s="269">
        <v>40000000</v>
      </c>
    </row>
    <row r="314" spans="4:7" hidden="1" x14ac:dyDescent="0.2">
      <c r="D314" s="269" t="s">
        <v>185</v>
      </c>
      <c r="E314" s="269">
        <f>+F314/F312</f>
        <v>100</v>
      </c>
      <c r="F314" s="269">
        <f>+F312*100</f>
        <v>10300800</v>
      </c>
    </row>
    <row r="315" spans="4:7" hidden="1" x14ac:dyDescent="0.2"/>
    <row r="316" spans="4:7" hidden="1" x14ac:dyDescent="0.2">
      <c r="D316" s="239" t="s">
        <v>164</v>
      </c>
    </row>
    <row r="317" spans="4:7" hidden="1" x14ac:dyDescent="0.2">
      <c r="D317" s="239" t="s">
        <v>172</v>
      </c>
    </row>
    <row r="318" spans="4:7" hidden="1" x14ac:dyDescent="0.2">
      <c r="D318" s="239" t="s">
        <v>186</v>
      </c>
    </row>
    <row r="319" spans="4:7" hidden="1" x14ac:dyDescent="0.2">
      <c r="D319" s="239" t="s">
        <v>187</v>
      </c>
    </row>
    <row r="320" spans="4:7" hidden="1" x14ac:dyDescent="0.2"/>
    <row r="321" spans="3:27" hidden="1" x14ac:dyDescent="0.2"/>
    <row r="322" spans="3:27" hidden="1" x14ac:dyDescent="0.2"/>
    <row r="323" spans="3:27" hidden="1" x14ac:dyDescent="0.2"/>
    <row r="324" spans="3:27" hidden="1" x14ac:dyDescent="0.2"/>
    <row r="325" spans="3:27" hidden="1" x14ac:dyDescent="0.2">
      <c r="D325" s="32" t="s">
        <v>163</v>
      </c>
    </row>
    <row r="326" spans="3:27" hidden="1" x14ac:dyDescent="0.2">
      <c r="D326" s="241" t="s">
        <v>145</v>
      </c>
      <c r="E326" s="241"/>
      <c r="F326" s="241">
        <f>SUM(G326:Z326)</f>
        <v>-6755400</v>
      </c>
      <c r="G326" s="297">
        <f>-Masterplan!N57</f>
        <v>-6755400</v>
      </c>
      <c r="H326" s="297"/>
      <c r="I326" s="297"/>
      <c r="J326" s="297"/>
      <c r="K326" s="297"/>
      <c r="L326" s="297"/>
      <c r="M326" s="297"/>
      <c r="N326" s="297"/>
      <c r="O326" s="297"/>
      <c r="P326" s="297"/>
      <c r="Q326" s="297"/>
      <c r="R326" s="297"/>
      <c r="S326" s="297"/>
      <c r="T326" s="297"/>
      <c r="U326" s="297"/>
      <c r="V326" s="297"/>
      <c r="W326" s="297"/>
      <c r="X326" s="297"/>
      <c r="Y326" s="297"/>
      <c r="Z326" s="297"/>
      <c r="AA326" s="305"/>
    </row>
    <row r="327" spans="3:27" hidden="1" x14ac:dyDescent="0.2">
      <c r="D327" s="242" t="s">
        <v>146</v>
      </c>
      <c r="E327" s="242"/>
      <c r="F327" s="242">
        <f ca="1">SUM(G327:Z327)</f>
        <v>2803181.3397671529</v>
      </c>
      <c r="G327" s="298">
        <f t="shared" ref="G327:AA327" si="275">+G251</f>
        <v>0</v>
      </c>
      <c r="H327" s="298">
        <f t="shared" ca="1" si="275"/>
        <v>-2363672.5760486303</v>
      </c>
      <c r="I327" s="298">
        <f t="shared" si="275"/>
        <v>-1107985.1341739381</v>
      </c>
      <c r="J327" s="298">
        <f t="shared" si="275"/>
        <v>-4544037.0878233463</v>
      </c>
      <c r="K327" s="298">
        <f t="shared" si="275"/>
        <v>-3693475.3234356469</v>
      </c>
      <c r="L327" s="298">
        <f t="shared" si="275"/>
        <v>-161888.49365651715</v>
      </c>
      <c r="M327" s="298">
        <f t="shared" si="275"/>
        <v>-779094.10876766965</v>
      </c>
      <c r="N327" s="298">
        <f t="shared" si="275"/>
        <v>1521786.9850491539</v>
      </c>
      <c r="O327" s="298">
        <f t="shared" si="275"/>
        <v>1515166.7351492092</v>
      </c>
      <c r="P327" s="298">
        <f t="shared" si="275"/>
        <v>2867608.1446968894</v>
      </c>
      <c r="Q327" s="298">
        <f t="shared" si="275"/>
        <v>1981190.3522985973</v>
      </c>
      <c r="R327" s="298">
        <f t="shared" si="275"/>
        <v>720064.51707442105</v>
      </c>
      <c r="S327" s="298">
        <f t="shared" si="275"/>
        <v>720971.90370599995</v>
      </c>
      <c r="T327" s="298">
        <f t="shared" si="275"/>
        <v>746393.19091310515</v>
      </c>
      <c r="U327" s="298">
        <f t="shared" si="275"/>
        <v>747300.57754468406</v>
      </c>
      <c r="V327" s="298">
        <f t="shared" si="275"/>
        <v>772721.8647517896</v>
      </c>
      <c r="W327" s="298">
        <f t="shared" si="275"/>
        <v>811683.48359936848</v>
      </c>
      <c r="X327" s="298">
        <f t="shared" si="275"/>
        <v>1006042.0668064738</v>
      </c>
      <c r="Y327" s="298">
        <f t="shared" si="275"/>
        <v>1006949.4534380527</v>
      </c>
      <c r="Z327" s="298">
        <f t="shared" si="275"/>
        <v>1035454.7886451578</v>
      </c>
      <c r="AA327" s="306">
        <f t="shared" si="275"/>
        <v>1036362.1752767367</v>
      </c>
    </row>
    <row r="328" spans="3:27" hidden="1" x14ac:dyDescent="0.2">
      <c r="D328" s="243" t="s">
        <v>147</v>
      </c>
      <c r="E328" s="243"/>
      <c r="F328" s="243">
        <f>SUM(G328:Z328)</f>
        <v>48788846.282789074</v>
      </c>
      <c r="G328" s="299"/>
      <c r="H328" s="299"/>
      <c r="I328" s="299"/>
      <c r="J328" s="299"/>
      <c r="K328" s="299"/>
      <c r="L328" s="299"/>
      <c r="M328" s="299"/>
      <c r="N328" s="299"/>
      <c r="O328" s="299"/>
      <c r="P328" s="299">
        <f>0.1*Masterplan!$N$58</f>
        <v>4878884.6282789074</v>
      </c>
      <c r="Q328" s="299">
        <f>0.1*Masterplan!$N$58</f>
        <v>4878884.6282789074</v>
      </c>
      <c r="R328" s="299">
        <f>0.1*Masterplan!$N$58</f>
        <v>4878884.6282789074</v>
      </c>
      <c r="S328" s="299">
        <f>0.1*Masterplan!$N$58</f>
        <v>4878884.6282789074</v>
      </c>
      <c r="T328" s="299">
        <f>0.1*Masterplan!$N$58</f>
        <v>4878884.6282789074</v>
      </c>
      <c r="U328" s="299"/>
      <c r="V328" s="299"/>
      <c r="W328" s="299"/>
      <c r="X328" s="299"/>
      <c r="Y328" s="299"/>
      <c r="Z328" s="299">
        <f>0.5*Masterplan!$N$58</f>
        <v>24394423.141394537</v>
      </c>
      <c r="AA328" s="307"/>
    </row>
    <row r="329" spans="3:27" hidden="1" x14ac:dyDescent="0.2">
      <c r="C329" s="239"/>
      <c r="D329" s="248" t="s">
        <v>150</v>
      </c>
      <c r="E329" s="248"/>
      <c r="F329" s="248">
        <f ca="1">SUM(G329:Z329)</f>
        <v>44836627.622556224</v>
      </c>
      <c r="G329" s="308">
        <f>SUM(G326:G328)</f>
        <v>-6755400</v>
      </c>
      <c r="H329" s="308">
        <f t="shared" ref="H329:AA329" ca="1" si="276">SUM(H326:H328)</f>
        <v>-2363672.5760486303</v>
      </c>
      <c r="I329" s="308">
        <f t="shared" si="276"/>
        <v>-1107985.1341739381</v>
      </c>
      <c r="J329" s="308">
        <f t="shared" si="276"/>
        <v>-4544037.0878233463</v>
      </c>
      <c r="K329" s="308">
        <f t="shared" si="276"/>
        <v>-3693475.3234356469</v>
      </c>
      <c r="L329" s="308">
        <f t="shared" si="276"/>
        <v>-161888.49365651715</v>
      </c>
      <c r="M329" s="308">
        <f t="shared" si="276"/>
        <v>-779094.10876766965</v>
      </c>
      <c r="N329" s="308">
        <f t="shared" si="276"/>
        <v>1521786.9850491539</v>
      </c>
      <c r="O329" s="308">
        <f t="shared" si="276"/>
        <v>1515166.7351492092</v>
      </c>
      <c r="P329" s="308">
        <f t="shared" si="276"/>
        <v>7746492.7729757968</v>
      </c>
      <c r="Q329" s="308">
        <f t="shared" si="276"/>
        <v>6860074.9805775043</v>
      </c>
      <c r="R329" s="308">
        <f t="shared" si="276"/>
        <v>5598949.1453533284</v>
      </c>
      <c r="S329" s="308">
        <f t="shared" si="276"/>
        <v>5599856.5319849076</v>
      </c>
      <c r="T329" s="308">
        <f t="shared" si="276"/>
        <v>5625277.8191920128</v>
      </c>
      <c r="U329" s="308">
        <f t="shared" si="276"/>
        <v>747300.57754468406</v>
      </c>
      <c r="V329" s="308">
        <f t="shared" si="276"/>
        <v>772721.8647517896</v>
      </c>
      <c r="W329" s="308">
        <f t="shared" si="276"/>
        <v>811683.48359936848</v>
      </c>
      <c r="X329" s="308">
        <f t="shared" si="276"/>
        <v>1006042.0668064738</v>
      </c>
      <c r="Y329" s="308">
        <f t="shared" si="276"/>
        <v>1006949.4534380527</v>
      </c>
      <c r="Z329" s="308">
        <f t="shared" si="276"/>
        <v>25429877.930039696</v>
      </c>
      <c r="AA329" s="309">
        <f t="shared" si="276"/>
        <v>1036362.1752767367</v>
      </c>
    </row>
    <row r="330" spans="3:27" hidden="1" x14ac:dyDescent="0.2">
      <c r="C330" s="41"/>
    </row>
    <row r="331" spans="3:27" hidden="1" x14ac:dyDescent="0.2">
      <c r="C331" s="239"/>
      <c r="D331" s="47" t="s">
        <v>133</v>
      </c>
      <c r="E331" s="47"/>
      <c r="F331" s="175">
        <f ca="1">(1+IRR(G329:Z329,0.01))^2-1</f>
        <v>0.23098244737409135</v>
      </c>
      <c r="G331" s="78">
        <v>0.23566162991687589</v>
      </c>
    </row>
    <row r="332" spans="3:27" hidden="1" x14ac:dyDescent="0.2">
      <c r="D332" s="48" t="s">
        <v>151</v>
      </c>
      <c r="E332" s="48"/>
      <c r="F332" s="48">
        <f ca="1">+F329</f>
        <v>44836627.622556224</v>
      </c>
      <c r="G332" s="76">
        <v>43606681.235170476</v>
      </c>
    </row>
    <row r="333" spans="3:27" hidden="1" x14ac:dyDescent="0.2"/>
    <row r="334" spans="3:27" hidden="1" x14ac:dyDescent="0.2"/>
    <row r="335" spans="3:27" hidden="1" x14ac:dyDescent="0.2"/>
    <row r="336" spans="3:27" ht="16" hidden="1" thickBot="1" x14ac:dyDescent="0.25">
      <c r="D336" s="238" t="s">
        <v>167</v>
      </c>
      <c r="E336" s="238"/>
      <c r="F336" s="238">
        <f ca="1">SUM(G336:AA336)</f>
        <v>-7789762.2999492669</v>
      </c>
      <c r="G336" s="310">
        <f t="shared" ref="G336:AA336" si="277">+G251-G121</f>
        <v>0</v>
      </c>
      <c r="H336" s="310">
        <f t="shared" ca="1" si="277"/>
        <v>-1908234.98652</v>
      </c>
      <c r="I336" s="310">
        <f t="shared" si="277"/>
        <v>-2746859.9515199997</v>
      </c>
      <c r="J336" s="310">
        <f t="shared" si="277"/>
        <v>-5573355.1890200004</v>
      </c>
      <c r="K336" s="310">
        <f t="shared" si="277"/>
        <v>-4432326.4852999998</v>
      </c>
      <c r="L336" s="310">
        <f t="shared" si="277"/>
        <v>-8671.8214642103121</v>
      </c>
      <c r="M336" s="310">
        <f t="shared" si="277"/>
        <v>42092.324840526446</v>
      </c>
      <c r="N336" s="310">
        <f t="shared" si="277"/>
        <v>-1556826.2114863156</v>
      </c>
      <c r="O336" s="310">
        <f t="shared" si="277"/>
        <v>-1507876.8384447366</v>
      </c>
      <c r="P336" s="310">
        <f t="shared" si="277"/>
        <v>630038.28118105233</v>
      </c>
      <c r="Q336" s="310">
        <f t="shared" si="277"/>
        <v>668314.55602863152</v>
      </c>
      <c r="R336" s="310">
        <f t="shared" si="277"/>
        <v>720064.51707442105</v>
      </c>
      <c r="S336" s="310">
        <f t="shared" si="277"/>
        <v>720971.90370599995</v>
      </c>
      <c r="T336" s="310">
        <f t="shared" si="277"/>
        <v>746393.19091310515</v>
      </c>
      <c r="U336" s="310">
        <f t="shared" si="277"/>
        <v>747300.57754468406</v>
      </c>
      <c r="V336" s="310">
        <f t="shared" si="277"/>
        <v>772721.8647517896</v>
      </c>
      <c r="W336" s="310">
        <f t="shared" si="277"/>
        <v>811683.48359936848</v>
      </c>
      <c r="X336" s="310">
        <f t="shared" si="277"/>
        <v>1006042.0668064738</v>
      </c>
      <c r="Y336" s="310">
        <f t="shared" si="277"/>
        <v>1006949.4534380527</v>
      </c>
      <c r="Z336" s="310">
        <f t="shared" si="277"/>
        <v>1035454.7886451578</v>
      </c>
      <c r="AA336" s="310">
        <f t="shared" si="277"/>
        <v>1036362.1752767367</v>
      </c>
    </row>
    <row r="337" spans="4:27" ht="16" hidden="1" thickTop="1" x14ac:dyDescent="0.2">
      <c r="D337" s="41" t="s">
        <v>6</v>
      </c>
      <c r="E337" s="41"/>
      <c r="F337" s="41"/>
      <c r="G337" s="292">
        <f>+G336</f>
        <v>0</v>
      </c>
      <c r="H337" s="292">
        <f ca="1">+H336+G337</f>
        <v>-1908234.98652</v>
      </c>
      <c r="I337" s="292">
        <f t="shared" ref="I337:O337" ca="1" si="278">+I336+H337</f>
        <v>-4655094.9380399995</v>
      </c>
      <c r="J337" s="292">
        <f t="shared" ca="1" si="278"/>
        <v>-10228450.12706</v>
      </c>
      <c r="K337" s="292">
        <f t="shared" ca="1" si="278"/>
        <v>-14660776.612360001</v>
      </c>
      <c r="L337" s="292">
        <f t="shared" ca="1" si="278"/>
        <v>-14669448.433824211</v>
      </c>
      <c r="M337" s="292">
        <f t="shared" ca="1" si="278"/>
        <v>-14627356.108983684</v>
      </c>
      <c r="N337" s="292">
        <f t="shared" ca="1" si="278"/>
        <v>-16184182.32047</v>
      </c>
      <c r="O337" s="292">
        <f t="shared" ca="1" si="278"/>
        <v>-17692059.158914737</v>
      </c>
      <c r="P337" s="292">
        <f t="shared" ref="P337" ca="1" si="279">+P336+O337</f>
        <v>-17062020.877733685</v>
      </c>
      <c r="Q337" s="292">
        <f t="shared" ref="Q337" ca="1" si="280">+Q336+P337</f>
        <v>-16393706.321705054</v>
      </c>
      <c r="R337" s="292">
        <f t="shared" ref="R337" ca="1" si="281">+R336+Q337</f>
        <v>-15673641.804630633</v>
      </c>
      <c r="S337" s="292">
        <f t="shared" ref="S337" ca="1" si="282">+S336+R337</f>
        <v>-14952669.900924634</v>
      </c>
      <c r="T337" s="292">
        <f t="shared" ref="T337" ca="1" si="283">+T336+S337</f>
        <v>-14206276.710011529</v>
      </c>
      <c r="U337" s="292">
        <f t="shared" ref="U337" ca="1" si="284">+U336+T337</f>
        <v>-13458976.132466845</v>
      </c>
      <c r="V337" s="292">
        <f t="shared" ref="V337" ca="1" si="285">+V336+U337</f>
        <v>-12686254.267715055</v>
      </c>
      <c r="W337" s="292">
        <f t="shared" ref="W337" ca="1" si="286">+W336+V337</f>
        <v>-11874570.784115687</v>
      </c>
      <c r="X337" s="292">
        <f t="shared" ref="X337" ca="1" si="287">+X336+W337</f>
        <v>-10868528.717309214</v>
      </c>
      <c r="Y337" s="292">
        <f t="shared" ref="Y337" ca="1" si="288">+Y336+X337</f>
        <v>-9861579.2638711613</v>
      </c>
      <c r="Z337" s="292">
        <f t="shared" ref="Z337" ca="1" si="289">+Z336+Y337</f>
        <v>-8826124.4752260037</v>
      </c>
      <c r="AA337" s="292">
        <f t="shared" ref="AA337" ca="1" si="290">+AA336+Z337</f>
        <v>-7789762.2999492669</v>
      </c>
    </row>
    <row r="338" spans="4:27" hidden="1" x14ac:dyDescent="0.2">
      <c r="D338" s="240" t="s">
        <v>67</v>
      </c>
      <c r="E338" s="240"/>
      <c r="F338" s="240">
        <f ca="1">+MIN(G337:AA337)</f>
        <v>-17692059.158914737</v>
      </c>
      <c r="G338" s="304"/>
      <c r="H338" s="311"/>
      <c r="I338" s="312"/>
      <c r="J338" s="312"/>
      <c r="K338" s="312"/>
      <c r="L338" s="312"/>
      <c r="M338" s="312"/>
      <c r="N338" s="312"/>
      <c r="O338" s="312"/>
      <c r="P338" s="312"/>
      <c r="Q338" s="312"/>
      <c r="R338" s="312"/>
      <c r="S338" s="312"/>
      <c r="T338" s="312"/>
      <c r="U338" s="312"/>
      <c r="V338" s="312"/>
      <c r="W338" s="312"/>
      <c r="X338" s="312"/>
      <c r="Y338" s="312"/>
      <c r="Z338" s="312"/>
      <c r="AA338" s="312"/>
    </row>
    <row r="339" spans="4:27" hidden="1" x14ac:dyDescent="0.2">
      <c r="G339" s="313"/>
      <c r="H339" s="313"/>
      <c r="I339" s="313"/>
      <c r="J339" s="313"/>
      <c r="K339" s="313"/>
      <c r="L339" s="313"/>
      <c r="M339" s="313"/>
      <c r="N339" s="313"/>
      <c r="O339" s="313"/>
      <c r="P339" s="313"/>
      <c r="Q339" s="313"/>
      <c r="R339" s="313"/>
      <c r="S339" s="313"/>
      <c r="T339" s="313"/>
      <c r="U339" s="313"/>
      <c r="V339" s="313"/>
      <c r="W339" s="313"/>
      <c r="X339" s="313"/>
      <c r="Y339" s="313"/>
      <c r="Z339" s="313"/>
      <c r="AA339" s="313"/>
    </row>
    <row r="340" spans="4:27" hidden="1" x14ac:dyDescent="0.2">
      <c r="D340" s="32" t="s">
        <v>168</v>
      </c>
      <c r="G340" s="313"/>
      <c r="H340" s="313"/>
      <c r="I340" s="313"/>
      <c r="J340" s="313"/>
      <c r="K340" s="313"/>
      <c r="L340" s="313"/>
      <c r="M340" s="313"/>
      <c r="N340" s="313"/>
      <c r="O340" s="313"/>
      <c r="P340" s="313"/>
      <c r="Q340" s="313"/>
      <c r="R340" s="313"/>
      <c r="S340" s="313"/>
      <c r="T340" s="313"/>
      <c r="U340" s="313"/>
      <c r="V340" s="313"/>
      <c r="W340" s="313"/>
      <c r="X340" s="313"/>
      <c r="Y340" s="313"/>
      <c r="Z340" s="313"/>
      <c r="AA340" s="313"/>
    </row>
    <row r="341" spans="4:27" hidden="1" x14ac:dyDescent="0.2">
      <c r="D341" s="63" t="s">
        <v>145</v>
      </c>
      <c r="E341" s="63"/>
      <c r="F341" s="63">
        <f>SUM(G341:Z341)</f>
        <v>-3856800</v>
      </c>
      <c r="G341" s="293">
        <f>-Masterplan!M57*Masterplan!O57</f>
        <v>-3856800</v>
      </c>
      <c r="H341" s="293"/>
      <c r="I341" s="293"/>
      <c r="J341" s="293"/>
      <c r="K341" s="293"/>
      <c r="L341" s="293"/>
      <c r="M341" s="293"/>
      <c r="N341" s="293"/>
      <c r="O341" s="293"/>
      <c r="P341" s="293"/>
      <c r="Q341" s="293"/>
      <c r="R341" s="293"/>
      <c r="S341" s="293"/>
      <c r="T341" s="293"/>
      <c r="U341" s="293"/>
      <c r="V341" s="293"/>
      <c r="W341" s="293"/>
      <c r="X341" s="293"/>
      <c r="Y341" s="293"/>
      <c r="Z341" s="293"/>
      <c r="AA341" s="314"/>
    </row>
    <row r="342" spans="4:27" hidden="1" x14ac:dyDescent="0.2">
      <c r="D342" s="50" t="s">
        <v>146</v>
      </c>
      <c r="E342" s="50"/>
      <c r="F342" s="50">
        <f ca="1">SUM(G342:Z342)</f>
        <v>-8826124.4752260037</v>
      </c>
      <c r="G342" s="294">
        <f>+G336</f>
        <v>0</v>
      </c>
      <c r="H342" s="294">
        <f t="shared" ref="H342:Z342" ca="1" si="291">+H336</f>
        <v>-1908234.98652</v>
      </c>
      <c r="I342" s="294">
        <f t="shared" si="291"/>
        <v>-2746859.9515199997</v>
      </c>
      <c r="J342" s="294">
        <f t="shared" si="291"/>
        <v>-5573355.1890200004</v>
      </c>
      <c r="K342" s="294">
        <f t="shared" si="291"/>
        <v>-4432326.4852999998</v>
      </c>
      <c r="L342" s="294">
        <f t="shared" si="291"/>
        <v>-8671.8214642103121</v>
      </c>
      <c r="M342" s="294">
        <f t="shared" si="291"/>
        <v>42092.324840526446</v>
      </c>
      <c r="N342" s="294">
        <f t="shared" si="291"/>
        <v>-1556826.2114863156</v>
      </c>
      <c r="O342" s="294">
        <f t="shared" si="291"/>
        <v>-1507876.8384447366</v>
      </c>
      <c r="P342" s="294">
        <f t="shared" si="291"/>
        <v>630038.28118105233</v>
      </c>
      <c r="Q342" s="294">
        <f t="shared" si="291"/>
        <v>668314.55602863152</v>
      </c>
      <c r="R342" s="294">
        <f t="shared" si="291"/>
        <v>720064.51707442105</v>
      </c>
      <c r="S342" s="294">
        <f t="shared" si="291"/>
        <v>720971.90370599995</v>
      </c>
      <c r="T342" s="294">
        <f t="shared" si="291"/>
        <v>746393.19091310515</v>
      </c>
      <c r="U342" s="294">
        <f t="shared" si="291"/>
        <v>747300.57754468406</v>
      </c>
      <c r="V342" s="294">
        <f t="shared" si="291"/>
        <v>772721.8647517896</v>
      </c>
      <c r="W342" s="294">
        <f t="shared" si="291"/>
        <v>811683.48359936848</v>
      </c>
      <c r="X342" s="294">
        <f t="shared" si="291"/>
        <v>1006042.0668064738</v>
      </c>
      <c r="Y342" s="294">
        <f t="shared" si="291"/>
        <v>1006949.4534380527</v>
      </c>
      <c r="Z342" s="294">
        <f t="shared" si="291"/>
        <v>1035454.7886451578</v>
      </c>
      <c r="AA342" s="315">
        <f>+AA336</f>
        <v>1036362.1752767367</v>
      </c>
    </row>
    <row r="343" spans="4:27" hidden="1" x14ac:dyDescent="0.2">
      <c r="D343" s="64" t="s">
        <v>147</v>
      </c>
      <c r="E343" s="139">
        <f>+Masterplan!M58*Masterplan!O58</f>
        <v>56518446.282789074</v>
      </c>
      <c r="F343" s="64">
        <f>SUM(G343:Z343)</f>
        <v>56518446.282789074</v>
      </c>
      <c r="G343" s="295"/>
      <c r="H343" s="295"/>
      <c r="I343" s="295"/>
      <c r="J343" s="295"/>
      <c r="K343" s="295"/>
      <c r="L343" s="295"/>
      <c r="M343" s="295"/>
      <c r="N343" s="295"/>
      <c r="O343" s="295"/>
      <c r="P343" s="295">
        <f>+$E$343*0.1</f>
        <v>5651844.6282789074</v>
      </c>
      <c r="Q343" s="295">
        <f t="shared" ref="Q343:U343" si="292">+$E$343*0.1</f>
        <v>5651844.6282789074</v>
      </c>
      <c r="R343" s="295">
        <f t="shared" si="292"/>
        <v>5651844.6282789074</v>
      </c>
      <c r="S343" s="295">
        <f t="shared" si="292"/>
        <v>5651844.6282789074</v>
      </c>
      <c r="T343" s="295">
        <f t="shared" si="292"/>
        <v>5651844.6282789074</v>
      </c>
      <c r="U343" s="295">
        <f t="shared" si="292"/>
        <v>5651844.6282789074</v>
      </c>
      <c r="V343" s="295"/>
      <c r="W343" s="295"/>
      <c r="X343" s="295"/>
      <c r="Y343" s="295"/>
      <c r="Z343" s="295">
        <f>0.4*E343</f>
        <v>22607378.51311563</v>
      </c>
      <c r="AA343" s="316"/>
    </row>
    <row r="344" spans="4:27" hidden="1" x14ac:dyDescent="0.2">
      <c r="D344" s="252" t="s">
        <v>150</v>
      </c>
      <c r="E344" s="253"/>
      <c r="F344" s="252">
        <f ca="1">SUM(G344:Z344)</f>
        <v>43835521.807563066</v>
      </c>
      <c r="G344" s="317">
        <f>SUM(G341:G343)</f>
        <v>-3856800</v>
      </c>
      <c r="H344" s="317">
        <f t="shared" ref="H344:AA344" ca="1" si="293">SUM(H341:H343)</f>
        <v>-1908234.98652</v>
      </c>
      <c r="I344" s="317">
        <f t="shared" si="293"/>
        <v>-2746859.9515199997</v>
      </c>
      <c r="J344" s="317">
        <f t="shared" si="293"/>
        <v>-5573355.1890200004</v>
      </c>
      <c r="K344" s="317">
        <f t="shared" si="293"/>
        <v>-4432326.4852999998</v>
      </c>
      <c r="L344" s="317">
        <f t="shared" si="293"/>
        <v>-8671.8214642103121</v>
      </c>
      <c r="M344" s="317">
        <f t="shared" si="293"/>
        <v>42092.324840526446</v>
      </c>
      <c r="N344" s="317">
        <f t="shared" si="293"/>
        <v>-1556826.2114863156</v>
      </c>
      <c r="O344" s="317">
        <f t="shared" si="293"/>
        <v>-1507876.8384447366</v>
      </c>
      <c r="P344" s="317">
        <f t="shared" si="293"/>
        <v>6281882.9094599597</v>
      </c>
      <c r="Q344" s="317">
        <f t="shared" si="293"/>
        <v>6320159.1843075389</v>
      </c>
      <c r="R344" s="317">
        <f t="shared" si="293"/>
        <v>6371909.1453533284</v>
      </c>
      <c r="S344" s="317">
        <f t="shared" si="293"/>
        <v>6372816.5319849076</v>
      </c>
      <c r="T344" s="317">
        <f t="shared" si="293"/>
        <v>6398237.8191920128</v>
      </c>
      <c r="U344" s="317">
        <f t="shared" si="293"/>
        <v>6399145.205823591</v>
      </c>
      <c r="V344" s="317">
        <f t="shared" si="293"/>
        <v>772721.8647517896</v>
      </c>
      <c r="W344" s="317">
        <f t="shared" si="293"/>
        <v>811683.48359936848</v>
      </c>
      <c r="X344" s="317">
        <f t="shared" si="293"/>
        <v>1006042.0668064738</v>
      </c>
      <c r="Y344" s="317">
        <f t="shared" si="293"/>
        <v>1006949.4534380527</v>
      </c>
      <c r="Z344" s="317">
        <f t="shared" si="293"/>
        <v>23642833.301760789</v>
      </c>
      <c r="AA344" s="318">
        <f t="shared" si="293"/>
        <v>1036362.1752767367</v>
      </c>
    </row>
    <row r="345" spans="4:27" hidden="1" x14ac:dyDescent="0.2"/>
    <row r="346" spans="4:27" hidden="1" x14ac:dyDescent="0.2">
      <c r="D346" s="250" t="s">
        <v>133</v>
      </c>
      <c r="E346" s="250"/>
      <c r="F346" s="254">
        <f ca="1">(1+IRR(G344:Z344,0.01))^2-1</f>
        <v>0.22279400282678719</v>
      </c>
      <c r="G346" s="78">
        <v>0.22429817592009438</v>
      </c>
    </row>
    <row r="347" spans="4:27" hidden="1" x14ac:dyDescent="0.2">
      <c r="D347" s="251" t="s">
        <v>151</v>
      </c>
      <c r="E347" s="251"/>
      <c r="F347" s="251">
        <f ca="1">+F344</f>
        <v>43835521.807563066</v>
      </c>
      <c r="G347" s="76">
        <v>42221540.908764072</v>
      </c>
    </row>
    <row r="348" spans="4:27" hidden="1" x14ac:dyDescent="0.2"/>
    <row r="349" spans="4:27" hidden="1" x14ac:dyDescent="0.2"/>
    <row r="350" spans="4:27" hidden="1" x14ac:dyDescent="0.2"/>
    <row r="351" spans="4:27" hidden="1" x14ac:dyDescent="0.2"/>
    <row r="352" spans="4:27" hidden="1" x14ac:dyDescent="0.2"/>
    <row r="353" hidden="1" x14ac:dyDescent="0.2"/>
    <row r="354" hidden="1" x14ac:dyDescent="0.2"/>
    <row r="355" hidden="1" x14ac:dyDescent="0.2"/>
    <row r="356" hidden="1" x14ac:dyDescent="0.2"/>
    <row r="357" hidden="1" x14ac:dyDescent="0.2"/>
    <row r="358" hidden="1" x14ac:dyDescent="0.2"/>
    <row r="359" hidden="1" x14ac:dyDescent="0.2"/>
    <row r="360" hidden="1" x14ac:dyDescent="0.2"/>
    <row r="361" hidden="1" x14ac:dyDescent="0.2"/>
    <row r="362" hidden="1" x14ac:dyDescent="0.2"/>
    <row r="363" hidden="1" x14ac:dyDescent="0.2"/>
    <row r="364" hidden="1" x14ac:dyDescent="0.2"/>
    <row r="365" hidden="1" x14ac:dyDescent="0.2"/>
    <row r="366" hidden="1" x14ac:dyDescent="0.2"/>
    <row r="367" hidden="1" x14ac:dyDescent="0.2"/>
    <row r="368" hidden="1" x14ac:dyDescent="0.2"/>
    <row r="369" hidden="1" x14ac:dyDescent="0.2"/>
    <row r="370" hidden="1" x14ac:dyDescent="0.2"/>
    <row r="371" hidden="1" x14ac:dyDescent="0.2"/>
    <row r="372" hidden="1" x14ac:dyDescent="0.2"/>
    <row r="373" hidden="1" x14ac:dyDescent="0.2"/>
    <row r="374" hidden="1" x14ac:dyDescent="0.2"/>
    <row r="375" hidden="1" x14ac:dyDescent="0.2"/>
    <row r="376" hidden="1" x14ac:dyDescent="0.2"/>
    <row r="377" hidden="1" x14ac:dyDescent="0.2"/>
    <row r="378" hidden="1" x14ac:dyDescent="0.2"/>
    <row r="379" hidden="1" x14ac:dyDescent="0.2"/>
    <row r="380" hidden="1" x14ac:dyDescent="0.2"/>
    <row r="381" hidden="1" x14ac:dyDescent="0.2"/>
    <row r="382" hidden="1" x14ac:dyDescent="0.2"/>
    <row r="383" hidden="1" x14ac:dyDescent="0.2"/>
    <row r="384" hidden="1" x14ac:dyDescent="0.2"/>
    <row r="385" hidden="1" x14ac:dyDescent="0.2"/>
    <row r="386" hidden="1" x14ac:dyDescent="0.2"/>
    <row r="387" hidden="1" x14ac:dyDescent="0.2"/>
    <row r="388" hidden="1" x14ac:dyDescent="0.2"/>
    <row r="389" hidden="1" x14ac:dyDescent="0.2"/>
    <row r="390" hidden="1" x14ac:dyDescent="0.2"/>
    <row r="391" hidden="1" x14ac:dyDescent="0.2"/>
    <row r="392" hidden="1" x14ac:dyDescent="0.2"/>
    <row r="393" hidden="1" x14ac:dyDescent="0.2"/>
    <row r="394" hidden="1" x14ac:dyDescent="0.2"/>
    <row r="395" hidden="1" x14ac:dyDescent="0.2"/>
    <row r="396" hidden="1" x14ac:dyDescent="0.2"/>
    <row r="397" hidden="1" x14ac:dyDescent="0.2"/>
    <row r="398" hidden="1" x14ac:dyDescent="0.2"/>
    <row r="399" hidden="1" x14ac:dyDescent="0.2"/>
    <row r="400" hidden="1" x14ac:dyDescent="0.2"/>
    <row r="401" hidden="1" x14ac:dyDescent="0.2"/>
    <row r="402" hidden="1" x14ac:dyDescent="0.2"/>
    <row r="403" hidden="1" x14ac:dyDescent="0.2"/>
    <row r="404" hidden="1" x14ac:dyDescent="0.2"/>
    <row r="405" hidden="1" x14ac:dyDescent="0.2"/>
    <row r="406" hidden="1" x14ac:dyDescent="0.2"/>
    <row r="407" hidden="1" x14ac:dyDescent="0.2"/>
    <row r="408" hidden="1" x14ac:dyDescent="0.2"/>
    <row r="409" hidden="1" x14ac:dyDescent="0.2"/>
    <row r="410" hidden="1" x14ac:dyDescent="0.2"/>
    <row r="411" hidden="1" x14ac:dyDescent="0.2"/>
    <row r="412" hidden="1" x14ac:dyDescent="0.2"/>
    <row r="413" hidden="1" x14ac:dyDescent="0.2"/>
    <row r="414" hidden="1" x14ac:dyDescent="0.2"/>
    <row r="415" hidden="1" x14ac:dyDescent="0.2"/>
    <row r="416" hidden="1" x14ac:dyDescent="0.2"/>
    <row r="417" hidden="1" x14ac:dyDescent="0.2"/>
    <row r="418" hidden="1" x14ac:dyDescent="0.2"/>
    <row r="419" hidden="1" x14ac:dyDescent="0.2"/>
    <row r="420" hidden="1" x14ac:dyDescent="0.2"/>
    <row r="421" hidden="1" x14ac:dyDescent="0.2"/>
    <row r="422" hidden="1" x14ac:dyDescent="0.2"/>
    <row r="423" hidden="1" x14ac:dyDescent="0.2"/>
    <row r="424" hidden="1" x14ac:dyDescent="0.2"/>
    <row r="425" hidden="1" x14ac:dyDescent="0.2"/>
    <row r="426" hidden="1" x14ac:dyDescent="0.2"/>
    <row r="427" hidden="1" x14ac:dyDescent="0.2"/>
    <row r="428" hidden="1" x14ac:dyDescent="0.2"/>
    <row r="429" hidden="1" x14ac:dyDescent="0.2"/>
    <row r="430" hidden="1" x14ac:dyDescent="0.2"/>
    <row r="431" hidden="1" x14ac:dyDescent="0.2"/>
    <row r="432" hidden="1" x14ac:dyDescent="0.2"/>
    <row r="433" hidden="1" x14ac:dyDescent="0.2"/>
    <row r="434" hidden="1" x14ac:dyDescent="0.2"/>
    <row r="435" hidden="1" x14ac:dyDescent="0.2"/>
    <row r="436" hidden="1" x14ac:dyDescent="0.2"/>
    <row r="437" hidden="1" x14ac:dyDescent="0.2"/>
    <row r="438" hidden="1" x14ac:dyDescent="0.2"/>
    <row r="439" hidden="1" x14ac:dyDescent="0.2"/>
    <row r="440" hidden="1" x14ac:dyDescent="0.2"/>
    <row r="441" hidden="1" x14ac:dyDescent="0.2"/>
    <row r="442" hidden="1" x14ac:dyDescent="0.2"/>
    <row r="443" hidden="1" x14ac:dyDescent="0.2"/>
    <row r="444" hidden="1" x14ac:dyDescent="0.2"/>
    <row r="445" hidden="1" x14ac:dyDescent="0.2"/>
    <row r="446" hidden="1" x14ac:dyDescent="0.2"/>
    <row r="447" hidden="1" x14ac:dyDescent="0.2"/>
    <row r="448" hidden="1" x14ac:dyDescent="0.2"/>
    <row r="449" hidden="1" x14ac:dyDescent="0.2"/>
    <row r="450" hidden="1" x14ac:dyDescent="0.2"/>
    <row r="451" hidden="1" x14ac:dyDescent="0.2"/>
    <row r="452" hidden="1" x14ac:dyDescent="0.2"/>
    <row r="453" hidden="1" x14ac:dyDescent="0.2"/>
    <row r="454" hidden="1" x14ac:dyDescent="0.2"/>
    <row r="455" hidden="1" x14ac:dyDescent="0.2"/>
    <row r="456" hidden="1" x14ac:dyDescent="0.2"/>
    <row r="457" hidden="1" x14ac:dyDescent="0.2"/>
    <row r="458" hidden="1" x14ac:dyDescent="0.2"/>
    <row r="459" hidden="1" x14ac:dyDescent="0.2"/>
    <row r="460" hidden="1" x14ac:dyDescent="0.2"/>
    <row r="461" hidden="1" x14ac:dyDescent="0.2"/>
    <row r="462" hidden="1" x14ac:dyDescent="0.2"/>
    <row r="463" hidden="1" x14ac:dyDescent="0.2"/>
    <row r="464" hidden="1" x14ac:dyDescent="0.2"/>
    <row r="465" hidden="1" x14ac:dyDescent="0.2"/>
    <row r="466" hidden="1" x14ac:dyDescent="0.2"/>
    <row r="467" hidden="1" x14ac:dyDescent="0.2"/>
    <row r="468" hidden="1" x14ac:dyDescent="0.2"/>
    <row r="469" hidden="1" x14ac:dyDescent="0.2"/>
  </sheetData>
  <mergeCells count="2">
    <mergeCell ref="E5:F5"/>
    <mergeCell ref="G4:AA4"/>
  </mergeCells>
  <printOptions horizontalCentered="1"/>
  <pageMargins left="0.25" right="0.25" top="0.75" bottom="0.75" header="0.3" footer="0.3"/>
  <pageSetup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DD426-15D4-2942-B967-27F4C74B53D7}">
  <sheetPr>
    <pageSetUpPr fitToPage="1"/>
  </sheetPr>
  <dimension ref="A1:Z143"/>
  <sheetViews>
    <sheetView showGridLines="0" topLeftCell="A87" zoomScaleNormal="100" workbookViewId="0">
      <selection activeCell="L143" sqref="A1:L143"/>
    </sheetView>
  </sheetViews>
  <sheetFormatPr baseColWidth="10" defaultRowHeight="13" outlineLevelRow="1" x14ac:dyDescent="0.15"/>
  <cols>
    <col min="1" max="1" width="36.6640625" bestFit="1" customWidth="1"/>
    <col min="2" max="2" width="4.83203125" customWidth="1"/>
    <col min="3" max="4" width="15.6640625" bestFit="1" customWidth="1"/>
    <col min="5" max="5" width="14.6640625" bestFit="1" customWidth="1"/>
    <col min="6" max="6" width="17" customWidth="1"/>
    <col min="7" max="7" width="16.6640625" customWidth="1"/>
    <col min="8" max="8" width="15.33203125" customWidth="1"/>
    <col min="9" max="12" width="14.1640625" bestFit="1" customWidth="1"/>
    <col min="13" max="13" width="19.33203125" customWidth="1"/>
    <col min="23" max="24" width="6.1640625" bestFit="1" customWidth="1"/>
  </cols>
  <sheetData>
    <row r="1" spans="1:14" s="347" customFormat="1" ht="25" customHeight="1" x14ac:dyDescent="0.15">
      <c r="A1" s="345" t="s">
        <v>245</v>
      </c>
      <c r="B1" s="346"/>
      <c r="C1" s="346" t="s">
        <v>233</v>
      </c>
      <c r="D1" s="346" t="s">
        <v>234</v>
      </c>
      <c r="E1" s="346" t="s">
        <v>235</v>
      </c>
      <c r="F1" s="346" t="s">
        <v>236</v>
      </c>
      <c r="G1" s="346" t="s">
        <v>237</v>
      </c>
      <c r="H1" s="346" t="s">
        <v>238</v>
      </c>
      <c r="I1" s="346" t="s">
        <v>239</v>
      </c>
      <c r="J1" s="346" t="s">
        <v>240</v>
      </c>
      <c r="K1" s="346" t="s">
        <v>241</v>
      </c>
      <c r="L1" s="346" t="s">
        <v>242</v>
      </c>
    </row>
    <row r="2" spans="1:14" ht="7" customHeight="1" x14ac:dyDescent="0.15"/>
    <row r="3" spans="1:14" s="338" customFormat="1" x14ac:dyDescent="0.15">
      <c r="A3" s="337" t="s">
        <v>225</v>
      </c>
    </row>
    <row r="4" spans="1:14" ht="7" customHeight="1" x14ac:dyDescent="0.15"/>
    <row r="5" spans="1:14" s="339" customFormat="1" x14ac:dyDescent="0.15">
      <c r="A5" s="339" t="s">
        <v>220</v>
      </c>
    </row>
    <row r="6" spans="1:14" ht="7" customHeight="1" x14ac:dyDescent="0.15">
      <c r="A6" s="322"/>
    </row>
    <row r="7" spans="1:14" x14ac:dyDescent="0.15">
      <c r="A7" t="s">
        <v>201</v>
      </c>
      <c r="C7" s="330">
        <f>'B Case Gral'!H24+'B Case Gral'!I24</f>
        <v>0</v>
      </c>
      <c r="D7" s="330">
        <f>'B Case Gral'!J24+'B Case Gral'!K24</f>
        <v>209563.2</v>
      </c>
      <c r="E7" s="330">
        <f>'B Case Gral'!L24+'B Case Gral'!M24</f>
        <v>419126.4</v>
      </c>
      <c r="F7" s="330">
        <f>'B Case Gral'!N24+'B Case Gral'!O24</f>
        <v>419126.4</v>
      </c>
      <c r="G7" s="330">
        <f>'B Case Gral'!P24+'B Case Gral'!Q24</f>
        <v>440082.72000000003</v>
      </c>
      <c r="H7" s="330">
        <f>'B Case Gral'!R24+'B Case Gral'!S24</f>
        <v>461039.04000000004</v>
      </c>
      <c r="I7" s="330">
        <f>'B Case Gral'!T24+'B Case Gral'!U24</f>
        <v>461039.04000000004</v>
      </c>
      <c r="J7" s="330">
        <f>'B Case Gral'!V24+'B Case Gral'!W24</f>
        <v>481995.36</v>
      </c>
      <c r="K7" s="330">
        <f>'B Case Gral'!X24+'B Case Gral'!Y24</f>
        <v>502951.67999999999</v>
      </c>
      <c r="L7" s="330">
        <f>'B Case Gral'!Z24+'B Case Gral'!AA24</f>
        <v>502951.67999999999</v>
      </c>
      <c r="M7" s="330"/>
    </row>
    <row r="8" spans="1:14" x14ac:dyDescent="0.15">
      <c r="A8" t="s">
        <v>202</v>
      </c>
      <c r="C8" s="330">
        <f>'B Case Gral'!H25+'B Case Gral'!I25</f>
        <v>0</v>
      </c>
      <c r="D8" s="330">
        <f>'B Case Gral'!J25+'B Case Gral'!K25</f>
        <v>104781.6</v>
      </c>
      <c r="E8" s="330">
        <f>'B Case Gral'!L25+'B Case Gral'!M25</f>
        <v>209563.2</v>
      </c>
      <c r="F8" s="330">
        <f>'B Case Gral'!N25+'B Case Gral'!O25</f>
        <v>209563.2</v>
      </c>
      <c r="G8" s="330">
        <f>'B Case Gral'!P25+'B Case Gral'!Q25</f>
        <v>220041.36000000002</v>
      </c>
      <c r="H8" s="330">
        <f>'B Case Gral'!R25+'B Case Gral'!S25</f>
        <v>230519.52000000002</v>
      </c>
      <c r="I8" s="330">
        <f>'B Case Gral'!T25+'B Case Gral'!U25</f>
        <v>230519.52000000002</v>
      </c>
      <c r="J8" s="330">
        <f>'B Case Gral'!V25+'B Case Gral'!W25</f>
        <v>240997.68</v>
      </c>
      <c r="K8" s="330">
        <f>'B Case Gral'!X25+'B Case Gral'!Y25</f>
        <v>251475.84</v>
      </c>
      <c r="L8" s="330">
        <f>'B Case Gral'!Z25+'B Case Gral'!AA25</f>
        <v>251475.84</v>
      </c>
    </row>
    <row r="9" spans="1:14" x14ac:dyDescent="0.15">
      <c r="A9" t="s">
        <v>207</v>
      </c>
      <c r="B9" s="335"/>
      <c r="C9" s="330">
        <f>'B Case Gral'!H26+'B Case Gral'!I26</f>
        <v>0</v>
      </c>
      <c r="D9" s="330">
        <f>'B Case Gral'!J26+'B Case Gral'!K26</f>
        <v>-10478.160000000002</v>
      </c>
      <c r="E9" s="330">
        <f>'B Case Gral'!L26+'B Case Gral'!M26</f>
        <v>-20956.320000000003</v>
      </c>
      <c r="F9" s="330">
        <f>'B Case Gral'!N26+'B Case Gral'!O26</f>
        <v>-20956.320000000003</v>
      </c>
      <c r="G9" s="330">
        <f>'B Case Gral'!P26+'B Case Gral'!Q26</f>
        <v>-22004.136000000006</v>
      </c>
      <c r="H9" s="330">
        <f>'B Case Gral'!R26+'B Case Gral'!S26</f>
        <v>-23051.952000000005</v>
      </c>
      <c r="I9" s="330">
        <f>'B Case Gral'!T26+'B Case Gral'!U26</f>
        <v>-23051.952000000005</v>
      </c>
      <c r="J9" s="330">
        <f>'B Case Gral'!V26+'B Case Gral'!W26</f>
        <v>-24099.768000000004</v>
      </c>
      <c r="K9" s="330">
        <f>'B Case Gral'!X26+'B Case Gral'!Y26</f>
        <v>-25147.584000000003</v>
      </c>
      <c r="L9" s="330">
        <f>'B Case Gral'!Z26+'B Case Gral'!AA26</f>
        <v>-25147.584000000003</v>
      </c>
    </row>
    <row r="10" spans="1:14" ht="7" customHeight="1" x14ac:dyDescent="0.15"/>
    <row r="11" spans="1:14" s="334" customFormat="1" x14ac:dyDescent="0.15">
      <c r="A11" s="334" t="s">
        <v>224</v>
      </c>
      <c r="C11" s="342">
        <f>SUM(C7:C9)</f>
        <v>0</v>
      </c>
      <c r="D11" s="342">
        <f>SUM(D7:D9)</f>
        <v>303866.64000000007</v>
      </c>
      <c r="E11" s="342">
        <f>SUM(E7:E9)</f>
        <v>607733.28000000014</v>
      </c>
      <c r="F11" s="342">
        <f>SUM(F7:F9)</f>
        <v>607733.28000000014</v>
      </c>
      <c r="G11" s="342">
        <f t="shared" ref="G11:L11" si="0">SUM(G7:G9)</f>
        <v>638119.94400000002</v>
      </c>
      <c r="H11" s="342">
        <f t="shared" si="0"/>
        <v>668506.60800000001</v>
      </c>
      <c r="I11" s="342">
        <f t="shared" si="0"/>
        <v>668506.60800000001</v>
      </c>
      <c r="J11" s="342">
        <f t="shared" si="0"/>
        <v>698893.272</v>
      </c>
      <c r="K11" s="342">
        <f t="shared" si="0"/>
        <v>729279.93599999999</v>
      </c>
      <c r="L11" s="342">
        <f t="shared" si="0"/>
        <v>729279.93599999999</v>
      </c>
    </row>
    <row r="12" spans="1:14" ht="7" customHeight="1" x14ac:dyDescent="0.15"/>
    <row r="13" spans="1:14" x14ac:dyDescent="0.15">
      <c r="A13" t="s">
        <v>203</v>
      </c>
      <c r="C13" s="330">
        <f>'B Case Gral'!H29+'B Case Gral'!I29</f>
        <v>-39293.100000000006</v>
      </c>
      <c r="D13" s="330">
        <f>'B Case Gral'!J29+'B Case Gral'!K29</f>
        <v>-98232.750000000015</v>
      </c>
      <c r="E13" s="330">
        <f>'B Case Gral'!L29+'B Case Gral'!M29</f>
        <v>-157172.40000000002</v>
      </c>
      <c r="F13" s="330">
        <f>'B Case Gral'!N29+'B Case Gral'!O29</f>
        <v>-157172.40000000002</v>
      </c>
      <c r="G13" s="330">
        <f>'B Case Gral'!P29+'B Case Gral'!Q29</f>
        <v>-165031.02000000002</v>
      </c>
      <c r="H13" s="330">
        <f>'B Case Gral'!R29+'B Case Gral'!S29</f>
        <v>-172889.64000000004</v>
      </c>
      <c r="I13" s="330">
        <f>'B Case Gral'!T29+'B Case Gral'!U29</f>
        <v>-172889.64000000004</v>
      </c>
      <c r="J13" s="330">
        <f>'B Case Gral'!V29+'B Case Gral'!W29</f>
        <v>-180748.26000000004</v>
      </c>
      <c r="K13" s="330">
        <f>'B Case Gral'!X29+'B Case Gral'!Y29</f>
        <v>-188606.88000000003</v>
      </c>
      <c r="L13" s="330">
        <f>'B Case Gral'!Z29+'B Case Gral'!AA29</f>
        <v>-188606.88000000003</v>
      </c>
      <c r="N13" s="330"/>
    </row>
    <row r="14" spans="1:14" x14ac:dyDescent="0.15">
      <c r="A14" t="s">
        <v>204</v>
      </c>
      <c r="C14" s="330">
        <f>'B Case Gral'!H30+'B Case Gral'!I30</f>
        <v>-87318</v>
      </c>
      <c r="D14" s="330">
        <f>'B Case Gral'!J30+'B Case Gral'!K30</f>
        <v>-87318</v>
      </c>
      <c r="E14" s="330">
        <f>'B Case Gral'!L30+'B Case Gral'!M30</f>
        <v>-87318</v>
      </c>
      <c r="F14" s="330">
        <f>'B Case Gral'!N30+'B Case Gral'!O30</f>
        <v>-87318</v>
      </c>
      <c r="G14" s="330">
        <f>'B Case Gral'!P30+'B Case Gral'!Q30</f>
        <v>-91683.9</v>
      </c>
      <c r="H14" s="330">
        <f>'B Case Gral'!R30+'B Case Gral'!S30</f>
        <v>-96049.8</v>
      </c>
      <c r="I14" s="330">
        <f>'B Case Gral'!T30+'B Case Gral'!U30</f>
        <v>-96049.8</v>
      </c>
      <c r="J14" s="330">
        <f>'B Case Gral'!V30+'B Case Gral'!W30</f>
        <v>-100415.7</v>
      </c>
      <c r="K14" s="330">
        <f>'B Case Gral'!X30+'B Case Gral'!Y30</f>
        <v>-104781.59999999999</v>
      </c>
      <c r="L14" s="330">
        <f>'B Case Gral'!Z30+'B Case Gral'!AA30</f>
        <v>-104781.59999999999</v>
      </c>
    </row>
    <row r="15" spans="1:14" x14ac:dyDescent="0.15">
      <c r="A15" s="322" t="s">
        <v>205</v>
      </c>
      <c r="C15" s="330">
        <f>'B Case Gral'!H31+'B Case Gral'!I31</f>
        <v>-4715.1720000000005</v>
      </c>
      <c r="D15" s="330">
        <f>'B Case Gral'!J31+'B Case Gral'!K31</f>
        <v>-11787.93</v>
      </c>
      <c r="E15" s="330">
        <f>'B Case Gral'!L31+'B Case Gral'!M31</f>
        <v>-18860.688000000002</v>
      </c>
      <c r="F15" s="330">
        <f>'B Case Gral'!N31+'B Case Gral'!O31</f>
        <v>-18860.688000000002</v>
      </c>
      <c r="G15" s="330">
        <f>'B Case Gral'!P31+'B Case Gral'!Q31</f>
        <v>-19803.722400000002</v>
      </c>
      <c r="H15" s="330">
        <f>'B Case Gral'!R31+'B Case Gral'!S31</f>
        <v>-20746.756800000003</v>
      </c>
      <c r="I15" s="330">
        <f>'B Case Gral'!T31+'B Case Gral'!U31</f>
        <v>-20746.756800000003</v>
      </c>
      <c r="J15" s="330">
        <f>'B Case Gral'!V31+'B Case Gral'!W31</f>
        <v>-21689.7912</v>
      </c>
      <c r="K15" s="330">
        <f>'B Case Gral'!X31+'B Case Gral'!Y31</f>
        <v>-22632.8256</v>
      </c>
      <c r="L15" s="330">
        <f>'B Case Gral'!Z31+'B Case Gral'!AA31</f>
        <v>-22632.8256</v>
      </c>
    </row>
    <row r="16" spans="1:14" ht="7" customHeight="1" x14ac:dyDescent="0.15">
      <c r="A16" s="322"/>
    </row>
    <row r="17" spans="1:23" s="334" customFormat="1" x14ac:dyDescent="0.15">
      <c r="A17" s="334" t="s">
        <v>223</v>
      </c>
      <c r="C17" s="342">
        <f>SUM(C13:C15)</f>
        <v>-131326.272</v>
      </c>
      <c r="D17" s="342">
        <f>SUM(D13:D15)</f>
        <v>-197338.68</v>
      </c>
      <c r="E17" s="342">
        <f>SUM(E13:E15)</f>
        <v>-263351.08800000005</v>
      </c>
      <c r="F17" s="342">
        <f>SUM(F13:F15)</f>
        <v>-263351.08800000005</v>
      </c>
      <c r="G17" s="342">
        <f t="shared" ref="G17:L17" si="1">SUM(G13:G15)</f>
        <v>-276518.64240000001</v>
      </c>
      <c r="H17" s="342">
        <f t="shared" si="1"/>
        <v>-289686.19680000003</v>
      </c>
      <c r="I17" s="342">
        <f t="shared" si="1"/>
        <v>-289686.19680000003</v>
      </c>
      <c r="J17" s="342">
        <f t="shared" si="1"/>
        <v>-302853.7512</v>
      </c>
      <c r="K17" s="342">
        <f t="shared" si="1"/>
        <v>-316021.30560000002</v>
      </c>
      <c r="L17" s="342">
        <f t="shared" si="1"/>
        <v>-316021.30560000002</v>
      </c>
    </row>
    <row r="18" spans="1:23" ht="7" customHeight="1" x14ac:dyDescent="0.15"/>
    <row r="19" spans="1:23" s="336" customFormat="1" x14ac:dyDescent="0.15">
      <c r="A19" s="336" t="s">
        <v>222</v>
      </c>
      <c r="C19" s="343">
        <f>C11+C17</f>
        <v>-131326.272</v>
      </c>
      <c r="D19" s="343">
        <f>D11+D17</f>
        <v>106527.96000000008</v>
      </c>
      <c r="E19" s="343">
        <f>E11+E17</f>
        <v>344382.1920000001</v>
      </c>
      <c r="F19" s="343">
        <f>F11+F17</f>
        <v>344382.1920000001</v>
      </c>
      <c r="G19" s="343">
        <f t="shared" ref="G19:L19" si="2">G11+G17</f>
        <v>361601.30160000001</v>
      </c>
      <c r="H19" s="343">
        <f t="shared" si="2"/>
        <v>378820.41119999997</v>
      </c>
      <c r="I19" s="343">
        <f t="shared" si="2"/>
        <v>378820.41119999997</v>
      </c>
      <c r="J19" s="343">
        <f t="shared" si="2"/>
        <v>396039.5208</v>
      </c>
      <c r="K19" s="343">
        <f t="shared" si="2"/>
        <v>413258.63039999997</v>
      </c>
      <c r="L19" s="343">
        <f t="shared" si="2"/>
        <v>413258.63039999997</v>
      </c>
    </row>
    <row r="21" spans="1:23" s="339" customFormat="1" x14ac:dyDescent="0.15">
      <c r="A21" s="339" t="s">
        <v>246</v>
      </c>
    </row>
    <row r="22" spans="1:23" ht="7" customHeight="1" x14ac:dyDescent="0.15">
      <c r="A22" s="322"/>
    </row>
    <row r="23" spans="1:23" x14ac:dyDescent="0.15">
      <c r="A23" t="s">
        <v>201</v>
      </c>
      <c r="C23" s="330">
        <f>SUM(C24:C25)</f>
        <v>0</v>
      </c>
      <c r="D23" s="330">
        <f t="shared" ref="D23" si="3">SUM(D24:D25)</f>
        <v>0</v>
      </c>
      <c r="E23" s="330">
        <f t="shared" ref="E23:L23" si="4">SUM(E24:E25)</f>
        <v>1023551.1000000001</v>
      </c>
      <c r="F23" s="330">
        <f t="shared" si="4"/>
        <v>1147617.8999999999</v>
      </c>
      <c r="G23" s="330">
        <f t="shared" si="4"/>
        <v>1240668</v>
      </c>
      <c r="H23" s="330">
        <f t="shared" si="4"/>
        <v>1302701.4000000001</v>
      </c>
      <c r="I23" s="330">
        <f t="shared" si="4"/>
        <v>1333718.0999999999</v>
      </c>
      <c r="J23" s="330">
        <f t="shared" si="4"/>
        <v>1364734.8</v>
      </c>
      <c r="K23" s="330">
        <f t="shared" si="4"/>
        <v>1676119.5</v>
      </c>
      <c r="L23" s="330">
        <f t="shared" si="4"/>
        <v>1713366.5999999999</v>
      </c>
    </row>
    <row r="24" spans="1:23" hidden="1" outlineLevel="1" x14ac:dyDescent="0.15">
      <c r="A24" s="344" t="s">
        <v>248</v>
      </c>
      <c r="C24" s="349">
        <f>'B Case Gral'!H48+'B Case Gral'!I48</f>
        <v>0</v>
      </c>
      <c r="D24" s="349">
        <f>'B Case Gral'!J48+'B Case Gral'!K48</f>
        <v>0</v>
      </c>
      <c r="E24" s="349">
        <f>'B Case Gral'!L48+'B Case Gral'!M48</f>
        <v>0</v>
      </c>
      <c r="F24" s="349">
        <f>'B Case Gral'!N48+'B Case Gral'!O48</f>
        <v>0</v>
      </c>
      <c r="G24" s="349">
        <f>'B Case Gral'!P48+'B Case Gral'!Q48</f>
        <v>0</v>
      </c>
      <c r="H24" s="349">
        <f>'B Case Gral'!R48+'B Case Gral'!S48</f>
        <v>0</v>
      </c>
      <c r="I24" s="349">
        <f>'B Case Gral'!T48+'B Case Gral'!U48</f>
        <v>0</v>
      </c>
      <c r="J24" s="349">
        <f>'B Case Gral'!V48+'B Case Gral'!W48</f>
        <v>0</v>
      </c>
      <c r="K24" s="349">
        <f>'B Case Gral'!X48+'B Case Gral'!Y48</f>
        <v>280368</v>
      </c>
      <c r="L24" s="349">
        <f>'B Case Gral'!Z48+'B Case Gral'!AA48</f>
        <v>286598.39999999997</v>
      </c>
    </row>
    <row r="25" spans="1:23" hidden="1" outlineLevel="1" x14ac:dyDescent="0.15">
      <c r="A25" s="344" t="s">
        <v>221</v>
      </c>
      <c r="C25" s="349">
        <f>'B Case Gral'!H67+'B Case Gral'!I67</f>
        <v>0</v>
      </c>
      <c r="D25" s="349">
        <f>'B Case Gral'!J67+'B Case Gral'!K67</f>
        <v>0</v>
      </c>
      <c r="E25" s="349">
        <f>'B Case Gral'!L67+'B Case Gral'!M67</f>
        <v>1023551.1000000001</v>
      </c>
      <c r="F25" s="349">
        <f>'B Case Gral'!N67+'B Case Gral'!O67</f>
        <v>1147617.8999999999</v>
      </c>
      <c r="G25" s="349">
        <f>'B Case Gral'!P67+'B Case Gral'!Q67</f>
        <v>1240668</v>
      </c>
      <c r="H25" s="349">
        <f>'B Case Gral'!R67+'B Case Gral'!S67</f>
        <v>1302701.4000000001</v>
      </c>
      <c r="I25" s="349">
        <f>'B Case Gral'!T67+'B Case Gral'!U67</f>
        <v>1333718.0999999999</v>
      </c>
      <c r="J25" s="349">
        <f>'B Case Gral'!V67+'B Case Gral'!W67</f>
        <v>1364734.8</v>
      </c>
      <c r="K25" s="349">
        <f>'B Case Gral'!X67+'B Case Gral'!Y67</f>
        <v>1395751.5</v>
      </c>
      <c r="L25" s="349">
        <f>'B Case Gral'!Z67+'B Case Gral'!AA67</f>
        <v>1426768.2</v>
      </c>
      <c r="N25" s="349"/>
      <c r="P25" s="349"/>
      <c r="R25" s="349"/>
      <c r="T25" s="349"/>
      <c r="V25" s="349"/>
      <c r="W25" s="349">
        <f>'B Case Gral'!AB67+'B Case Gral'!AC67</f>
        <v>0</v>
      </c>
    </row>
    <row r="26" spans="1:23" collapsed="1" x14ac:dyDescent="0.15">
      <c r="A26" t="s">
        <v>202</v>
      </c>
      <c r="C26" s="332">
        <f t="shared" ref="C26:L26" si="5">SUM(C27:C28)</f>
        <v>113280</v>
      </c>
      <c r="D26" s="332">
        <f t="shared" si="5"/>
        <v>114696</v>
      </c>
      <c r="E26" s="332">
        <f t="shared" si="5"/>
        <v>516765.3</v>
      </c>
      <c r="F26" s="332">
        <f t="shared" si="5"/>
        <v>567989.69999999995</v>
      </c>
      <c r="G26" s="332">
        <f t="shared" si="5"/>
        <v>607116</v>
      </c>
      <c r="H26" s="332">
        <f t="shared" si="5"/>
        <v>632728.20000000007</v>
      </c>
      <c r="I26" s="332">
        <f t="shared" si="5"/>
        <v>644826.30000000005</v>
      </c>
      <c r="J26" s="332">
        <f t="shared" si="5"/>
        <v>656924.4</v>
      </c>
      <c r="K26" s="332">
        <f t="shared" si="5"/>
        <v>671854.5</v>
      </c>
      <c r="L26" s="332">
        <f t="shared" si="5"/>
        <v>686784.6</v>
      </c>
    </row>
    <row r="27" spans="1:23" hidden="1" outlineLevel="1" x14ac:dyDescent="0.15">
      <c r="A27" s="344" t="s">
        <v>248</v>
      </c>
      <c r="C27" s="349">
        <f>'B Case Gral'!H49+'B Case Gral'!I49</f>
        <v>113280</v>
      </c>
      <c r="D27" s="349">
        <f>'B Case Gral'!J49+'B Case Gral'!K49</f>
        <v>114696</v>
      </c>
      <c r="E27" s="349">
        <f>'B Case Gral'!L49+'B Case Gral'!M49</f>
        <v>117528</v>
      </c>
      <c r="F27" s="349">
        <f>'B Case Gral'!N49+'B Case Gral'!O49</f>
        <v>120360</v>
      </c>
      <c r="G27" s="349">
        <f>'B Case Gral'!P49+'B Case Gral'!Q49</f>
        <v>123192</v>
      </c>
      <c r="H27" s="349">
        <f>'B Case Gral'!R49+'B Case Gral'!S49</f>
        <v>124608.00000000001</v>
      </c>
      <c r="I27" s="349">
        <f>'B Case Gral'!T49+'B Case Gral'!U49</f>
        <v>124608.00000000001</v>
      </c>
      <c r="J27" s="349">
        <f>'B Case Gral'!V49+'B Case Gral'!W49</f>
        <v>124608.00000000001</v>
      </c>
      <c r="K27" s="349">
        <f>'B Case Gral'!X49+'B Case Gral'!Y49</f>
        <v>127440</v>
      </c>
      <c r="L27" s="349">
        <f>'B Case Gral'!Z49+'B Case Gral'!AA49</f>
        <v>130271.99999999999</v>
      </c>
      <c r="N27" s="349"/>
      <c r="P27" s="349"/>
      <c r="R27" s="349"/>
      <c r="T27" s="349"/>
      <c r="V27" s="349"/>
    </row>
    <row r="28" spans="1:23" hidden="1" outlineLevel="1" x14ac:dyDescent="0.15">
      <c r="A28" s="344" t="s">
        <v>221</v>
      </c>
      <c r="C28" s="349">
        <f>'B Case Gral'!H68+'B Case Gral'!I68</f>
        <v>0</v>
      </c>
      <c r="D28" s="349">
        <f>'B Case Gral'!J68+'B Case Gral'!K68</f>
        <v>0</v>
      </c>
      <c r="E28" s="349">
        <f>'B Case Gral'!L68+'B Case Gral'!M68</f>
        <v>399237.3</v>
      </c>
      <c r="F28" s="349">
        <f>'B Case Gral'!N68+'B Case Gral'!O68</f>
        <v>447629.7</v>
      </c>
      <c r="G28" s="349">
        <f>'B Case Gral'!P68+'B Case Gral'!Q68</f>
        <v>483924</v>
      </c>
      <c r="H28" s="349">
        <f>'B Case Gral'!R68+'B Case Gral'!S68</f>
        <v>508120.2</v>
      </c>
      <c r="I28" s="349">
        <f>'B Case Gral'!T68+'B Case Gral'!U68</f>
        <v>520218.3</v>
      </c>
      <c r="J28" s="349">
        <f>'B Case Gral'!V68+'B Case Gral'!W68</f>
        <v>532316.4</v>
      </c>
      <c r="K28" s="349">
        <f>'B Case Gral'!X68+'B Case Gral'!Y68</f>
        <v>544414.5</v>
      </c>
      <c r="L28" s="349">
        <f>'B Case Gral'!Z68+'B Case Gral'!AA68</f>
        <v>556512.6</v>
      </c>
      <c r="N28" s="349"/>
      <c r="P28" s="349"/>
      <c r="R28" s="349"/>
      <c r="T28" s="349"/>
      <c r="V28" s="349"/>
      <c r="W28" s="349">
        <f>'B Case Gral'!AB68+'B Case Gral'!AC68</f>
        <v>0</v>
      </c>
    </row>
    <row r="29" spans="1:23" collapsed="1" x14ac:dyDescent="0.15">
      <c r="A29" t="s">
        <v>207</v>
      </c>
      <c r="B29" s="335"/>
      <c r="C29" s="330">
        <f t="shared" ref="C29:L29" si="6">SUM(C30:C31)</f>
        <v>0</v>
      </c>
      <c r="D29" s="330">
        <f t="shared" si="6"/>
        <v>0</v>
      </c>
      <c r="E29" s="330">
        <f t="shared" si="6"/>
        <v>-51177.555</v>
      </c>
      <c r="F29" s="330">
        <f t="shared" si="6"/>
        <v>-57380.895000000004</v>
      </c>
      <c r="G29" s="330">
        <f t="shared" si="6"/>
        <v>-62033.4</v>
      </c>
      <c r="H29" s="330">
        <f t="shared" si="6"/>
        <v>-65135.070000000007</v>
      </c>
      <c r="I29" s="330">
        <f t="shared" si="6"/>
        <v>-66685.904999999999</v>
      </c>
      <c r="J29" s="330">
        <f t="shared" si="6"/>
        <v>-68236.740000000005</v>
      </c>
      <c r="K29" s="330">
        <f t="shared" si="6"/>
        <v>-69787.574999999997</v>
      </c>
      <c r="L29" s="330">
        <f t="shared" si="6"/>
        <v>-71338.409999999989</v>
      </c>
    </row>
    <row r="30" spans="1:23" hidden="1" outlineLevel="1" x14ac:dyDescent="0.15">
      <c r="A30" s="344" t="s">
        <v>248</v>
      </c>
      <c r="B30" s="335"/>
      <c r="C30" s="349">
        <f>'B Case Gral'!H50</f>
        <v>0</v>
      </c>
      <c r="D30" s="349">
        <f>'B Case Gral'!J50</f>
        <v>0</v>
      </c>
      <c r="E30" s="349">
        <f>'B Case Gral'!L50</f>
        <v>0</v>
      </c>
      <c r="F30" s="349">
        <f>'B Case Gral'!N50</f>
        <v>0</v>
      </c>
      <c r="G30" s="349">
        <f>'B Case Gral'!P50</f>
        <v>0</v>
      </c>
      <c r="H30" s="349">
        <f>'B Case Gral'!R50</f>
        <v>0</v>
      </c>
      <c r="I30" s="349">
        <f>'B Case Gral'!T50</f>
        <v>0</v>
      </c>
      <c r="J30" s="349">
        <f>'B Case Gral'!V50</f>
        <v>0</v>
      </c>
      <c r="K30" s="349">
        <f>'B Case Gral'!X50</f>
        <v>0</v>
      </c>
      <c r="L30" s="349">
        <f>'B Case Gral'!Z50</f>
        <v>0</v>
      </c>
    </row>
    <row r="31" spans="1:23" hidden="1" outlineLevel="1" x14ac:dyDescent="0.15">
      <c r="A31" s="344" t="s">
        <v>221</v>
      </c>
      <c r="B31" s="335"/>
      <c r="C31" s="349">
        <f>'B Case Gral'!H69+'B Case Gral'!I69</f>
        <v>0</v>
      </c>
      <c r="D31" s="349">
        <f>'B Case Gral'!J69+'B Case Gral'!K69</f>
        <v>0</v>
      </c>
      <c r="E31" s="349">
        <f>'B Case Gral'!L69+'B Case Gral'!M69</f>
        <v>-51177.555</v>
      </c>
      <c r="F31" s="349">
        <f>'B Case Gral'!N69+'B Case Gral'!O69</f>
        <v>-57380.895000000004</v>
      </c>
      <c r="G31" s="349">
        <f>'B Case Gral'!P69+'B Case Gral'!Q69</f>
        <v>-62033.4</v>
      </c>
      <c r="H31" s="349">
        <f>'B Case Gral'!R69+'B Case Gral'!S69</f>
        <v>-65135.070000000007</v>
      </c>
      <c r="I31" s="349">
        <f>'B Case Gral'!T69+'B Case Gral'!U69</f>
        <v>-66685.904999999999</v>
      </c>
      <c r="J31" s="349">
        <f>'B Case Gral'!V69+'B Case Gral'!W69</f>
        <v>-68236.740000000005</v>
      </c>
      <c r="K31" s="349">
        <f>'B Case Gral'!X69+'B Case Gral'!Y69</f>
        <v>-69787.574999999997</v>
      </c>
      <c r="L31" s="349">
        <f>'B Case Gral'!Z69+'B Case Gral'!AA69</f>
        <v>-71338.409999999989</v>
      </c>
      <c r="N31" s="349"/>
      <c r="P31" s="349"/>
      <c r="R31" s="349"/>
      <c r="T31" s="349"/>
      <c r="V31" s="349"/>
      <c r="W31" s="349">
        <f>'B Case Gral'!AB69+'B Case Gral'!AC69</f>
        <v>0</v>
      </c>
    </row>
    <row r="32" spans="1:23" ht="7" customHeight="1" collapsed="1" x14ac:dyDescent="0.15"/>
    <row r="33" spans="1:24" s="334" customFormat="1" x14ac:dyDescent="0.15">
      <c r="A33" s="334" t="s">
        <v>243</v>
      </c>
      <c r="C33" s="342">
        <f>C23+C26+C29</f>
        <v>113280</v>
      </c>
      <c r="D33" s="342">
        <f t="shared" ref="D33:K33" si="7">D23+D26+D29</f>
        <v>114696</v>
      </c>
      <c r="E33" s="342">
        <f t="shared" si="7"/>
        <v>1489138.8450000002</v>
      </c>
      <c r="F33" s="342">
        <f t="shared" si="7"/>
        <v>1658226.7049999998</v>
      </c>
      <c r="G33" s="342">
        <f t="shared" si="7"/>
        <v>1785750.6</v>
      </c>
      <c r="H33" s="342">
        <f t="shared" si="7"/>
        <v>1870294.53</v>
      </c>
      <c r="I33" s="342">
        <f t="shared" si="7"/>
        <v>1911858.4949999999</v>
      </c>
      <c r="J33" s="342">
        <f t="shared" si="7"/>
        <v>1953422.4600000002</v>
      </c>
      <c r="K33" s="342">
        <f t="shared" si="7"/>
        <v>2278186.4249999998</v>
      </c>
      <c r="L33" s="342">
        <f>L23+L26+L29</f>
        <v>2328812.7899999996</v>
      </c>
    </row>
    <row r="34" spans="1:24" ht="7" customHeight="1" x14ac:dyDescent="0.15"/>
    <row r="35" spans="1:24" x14ac:dyDescent="0.15">
      <c r="A35" t="s">
        <v>203</v>
      </c>
      <c r="C35" s="332">
        <f>SUM(C36:C37)</f>
        <v>-139016.4</v>
      </c>
      <c r="D35" s="332">
        <f t="shared" ref="D35" si="8">SUM(D36:D37)</f>
        <v>-140149.19999999998</v>
      </c>
      <c r="E35" s="332">
        <f t="shared" ref="E35:L35" si="9">SUM(E36:E37)</f>
        <v>-577946.4</v>
      </c>
      <c r="F35" s="332">
        <f t="shared" si="9"/>
        <v>-580212</v>
      </c>
      <c r="G35" s="332">
        <f t="shared" si="9"/>
        <v>-582477.6</v>
      </c>
      <c r="H35" s="332">
        <f t="shared" si="9"/>
        <v>-583610.4</v>
      </c>
      <c r="I35" s="332">
        <f t="shared" si="9"/>
        <v>-583610.4</v>
      </c>
      <c r="J35" s="332">
        <f t="shared" si="9"/>
        <v>-583610.4</v>
      </c>
      <c r="K35" s="332">
        <f t="shared" si="9"/>
        <v>-585876</v>
      </c>
      <c r="L35" s="332">
        <f t="shared" si="9"/>
        <v>-588141.6</v>
      </c>
    </row>
    <row r="36" spans="1:24" hidden="1" outlineLevel="1" x14ac:dyDescent="0.15">
      <c r="A36" s="344" t="s">
        <v>248</v>
      </c>
      <c r="C36" s="349">
        <f>'B Case Gral'!H52+'B Case Gral'!I52</f>
        <v>-90624</v>
      </c>
      <c r="D36" s="349">
        <f>'B Case Gral'!J52+'B Case Gral'!K52</f>
        <v>-91756.799999999988</v>
      </c>
      <c r="E36" s="349">
        <f>'B Case Gral'!L52+'B Case Gral'!M52</f>
        <v>-94022.399999999994</v>
      </c>
      <c r="F36" s="349">
        <f>'B Case Gral'!N52+'B Case Gral'!O52</f>
        <v>-96288</v>
      </c>
      <c r="G36" s="349">
        <f>'B Case Gral'!P52+'B Case Gral'!Q52</f>
        <v>-98553.600000000006</v>
      </c>
      <c r="H36" s="349">
        <f>'B Case Gral'!R52+'B Case Gral'!S52</f>
        <v>-99686.400000000009</v>
      </c>
      <c r="I36" s="349">
        <f>'B Case Gral'!T52+'B Case Gral'!U52</f>
        <v>-99686.400000000009</v>
      </c>
      <c r="J36" s="349">
        <f>'B Case Gral'!V52+'B Case Gral'!W52</f>
        <v>-99686.400000000009</v>
      </c>
      <c r="K36" s="349">
        <f>'B Case Gral'!X52+'B Case Gral'!Y52</f>
        <v>-101952</v>
      </c>
      <c r="L36" s="349">
        <f>'B Case Gral'!Z52+'B Case Gral'!AA52</f>
        <v>-104217.59999999999</v>
      </c>
      <c r="N36" s="349"/>
      <c r="P36" s="349"/>
      <c r="R36" s="349"/>
      <c r="T36" s="349"/>
      <c r="V36" s="349"/>
      <c r="W36" s="349">
        <f>'B Case Gral'!AB52+'B Case Gral'!AC52</f>
        <v>0</v>
      </c>
      <c r="X36" s="349">
        <f>'B Case Gral'!AC52+'B Case Gral'!AD52</f>
        <v>0</v>
      </c>
    </row>
    <row r="37" spans="1:24" hidden="1" outlineLevel="1" x14ac:dyDescent="0.15">
      <c r="A37" s="344" t="s">
        <v>221</v>
      </c>
      <c r="C37" s="349">
        <f>'B Case Gral'!H71+'B Case Gral'!I71</f>
        <v>-48392.4</v>
      </c>
      <c r="D37" s="349">
        <f>'B Case Gral'!J71+'B Case Gral'!K71</f>
        <v>-48392.4</v>
      </c>
      <c r="E37" s="349">
        <f>'B Case Gral'!L71+'B Case Gral'!M71</f>
        <v>-483924</v>
      </c>
      <c r="F37" s="349">
        <f>'B Case Gral'!N71+'B Case Gral'!O71</f>
        <v>-483924</v>
      </c>
      <c r="G37" s="349">
        <f>'B Case Gral'!P71+'B Case Gral'!Q71</f>
        <v>-483924</v>
      </c>
      <c r="H37" s="349">
        <f>'B Case Gral'!R71+'B Case Gral'!S71</f>
        <v>-483924</v>
      </c>
      <c r="I37" s="349">
        <f>'B Case Gral'!T71+'B Case Gral'!U71</f>
        <v>-483924</v>
      </c>
      <c r="J37" s="349">
        <f>'B Case Gral'!V71+'B Case Gral'!W71</f>
        <v>-483924</v>
      </c>
      <c r="K37" s="349">
        <f>'B Case Gral'!X71+'B Case Gral'!Y71</f>
        <v>-483924</v>
      </c>
      <c r="L37" s="349">
        <f>'B Case Gral'!Z71+'B Case Gral'!AA71</f>
        <v>-483924</v>
      </c>
      <c r="N37" s="349"/>
      <c r="P37" s="349"/>
      <c r="R37" s="349"/>
      <c r="T37" s="349"/>
      <c r="V37" s="349"/>
      <c r="W37" s="349">
        <f>'B Case Gral'!AB71+'B Case Gral'!AC71</f>
        <v>0</v>
      </c>
    </row>
    <row r="38" spans="1:24" collapsed="1" x14ac:dyDescent="0.15">
      <c r="A38" t="s">
        <v>204</v>
      </c>
      <c r="C38" s="332">
        <f>SUM(C39:C40)</f>
        <v>-101952</v>
      </c>
      <c r="D38" s="332">
        <f t="shared" ref="D38" si="10">SUM(D39:D40)</f>
        <v>-102801.60000000001</v>
      </c>
      <c r="E38" s="332">
        <f t="shared" ref="E38:L38" si="11">SUM(E39:E40)</f>
        <v>-105350.39999999999</v>
      </c>
      <c r="F38" s="332">
        <f t="shared" si="11"/>
        <v>-107899.20000000001</v>
      </c>
      <c r="G38" s="332">
        <f t="shared" si="11"/>
        <v>-110448</v>
      </c>
      <c r="H38" s="332">
        <f t="shared" si="11"/>
        <v>-112147.20000000001</v>
      </c>
      <c r="I38" s="332">
        <f t="shared" si="11"/>
        <v>-112147.20000000001</v>
      </c>
      <c r="J38" s="332">
        <f t="shared" si="11"/>
        <v>-112147.20000000001</v>
      </c>
      <c r="K38" s="332">
        <f t="shared" si="11"/>
        <v>-114696</v>
      </c>
      <c r="L38" s="332">
        <f t="shared" si="11"/>
        <v>-117244.79999999999</v>
      </c>
    </row>
    <row r="39" spans="1:24" hidden="1" outlineLevel="1" x14ac:dyDescent="0.15">
      <c r="A39" s="344" t="s">
        <v>248</v>
      </c>
      <c r="C39" s="349">
        <f>'B Case Gral'!H53</f>
        <v>-33984</v>
      </c>
      <c r="D39" s="349">
        <f>'B Case Gral'!J53</f>
        <v>-33984</v>
      </c>
      <c r="E39" s="349">
        <f>'B Case Gral'!L53</f>
        <v>-34833.599999999999</v>
      </c>
      <c r="F39" s="349">
        <f>'B Case Gral'!N53</f>
        <v>-35683.200000000004</v>
      </c>
      <c r="G39" s="349">
        <f>'B Case Gral'!P53</f>
        <v>-36532.799999999996</v>
      </c>
      <c r="H39" s="349">
        <f>'B Case Gral'!R53</f>
        <v>-37382.400000000001</v>
      </c>
      <c r="I39" s="349">
        <f>'B Case Gral'!T53</f>
        <v>-37382.400000000001</v>
      </c>
      <c r="J39" s="349">
        <f>'B Case Gral'!V53</f>
        <v>-37382.400000000001</v>
      </c>
      <c r="K39" s="349">
        <f>'B Case Gral'!X53</f>
        <v>-38232</v>
      </c>
      <c r="L39" s="349">
        <f>'B Case Gral'!Z53</f>
        <v>-39081.599999999999</v>
      </c>
      <c r="N39" s="349"/>
      <c r="P39" s="349"/>
      <c r="R39" s="349"/>
      <c r="T39" s="349"/>
      <c r="V39" s="349"/>
      <c r="W39" s="349">
        <f>'B Case Gral'!AB53</f>
        <v>0</v>
      </c>
    </row>
    <row r="40" spans="1:24" hidden="1" outlineLevel="1" x14ac:dyDescent="0.15">
      <c r="A40" s="344" t="s">
        <v>221</v>
      </c>
      <c r="C40" s="349">
        <f>'B Case Gral'!H53+'B Case Gral'!I53</f>
        <v>-67968</v>
      </c>
      <c r="D40" s="349">
        <f>'B Case Gral'!J53+'B Case Gral'!K53</f>
        <v>-68817.600000000006</v>
      </c>
      <c r="E40" s="349">
        <f>'B Case Gral'!L53+'B Case Gral'!M53</f>
        <v>-70516.800000000003</v>
      </c>
      <c r="F40" s="349">
        <f>'B Case Gral'!N53+'B Case Gral'!O53</f>
        <v>-72216</v>
      </c>
      <c r="G40" s="349">
        <f>'B Case Gral'!P53+'B Case Gral'!Q53</f>
        <v>-73915.199999999997</v>
      </c>
      <c r="H40" s="349">
        <f>'B Case Gral'!R53+'B Case Gral'!S53</f>
        <v>-74764.800000000003</v>
      </c>
      <c r="I40" s="349">
        <f>'B Case Gral'!T53+'B Case Gral'!U53</f>
        <v>-74764.800000000003</v>
      </c>
      <c r="J40" s="349">
        <f>'B Case Gral'!V53+'B Case Gral'!W53</f>
        <v>-74764.800000000003</v>
      </c>
      <c r="K40" s="349">
        <f>'B Case Gral'!X53+'B Case Gral'!Y53</f>
        <v>-76464</v>
      </c>
      <c r="L40" s="349">
        <f>'B Case Gral'!Z53+'B Case Gral'!AA53</f>
        <v>-78163.199999999997</v>
      </c>
      <c r="N40" s="349"/>
      <c r="P40" s="349"/>
      <c r="R40" s="349"/>
      <c r="T40" s="349"/>
      <c r="V40" s="349"/>
      <c r="W40" s="349">
        <f>'B Case Gral'!AB53+'B Case Gral'!AC53</f>
        <v>0</v>
      </c>
    </row>
    <row r="41" spans="1:24" collapsed="1" x14ac:dyDescent="0.15">
      <c r="A41" s="322" t="s">
        <v>205</v>
      </c>
      <c r="C41" s="332">
        <f t="shared" ref="C41:L41" si="12">SUM(C42:C43)</f>
        <v>-10347.552</v>
      </c>
      <c r="D41" s="332">
        <f t="shared" si="12"/>
        <v>-10347.552</v>
      </c>
      <c r="E41" s="332">
        <f t="shared" si="12"/>
        <v>-42683.652000000002</v>
      </c>
      <c r="F41" s="332">
        <f t="shared" si="12"/>
        <v>-47857.428</v>
      </c>
      <c r="G41" s="332">
        <f t="shared" si="12"/>
        <v>-51737.759999999995</v>
      </c>
      <c r="H41" s="332">
        <f t="shared" si="12"/>
        <v>-54324.647999999994</v>
      </c>
      <c r="I41" s="332">
        <f t="shared" si="12"/>
        <v>-55618.09199999999</v>
      </c>
      <c r="J41" s="332">
        <f t="shared" si="12"/>
        <v>-56911.536</v>
      </c>
      <c r="K41" s="332">
        <f t="shared" si="12"/>
        <v>-58204.979999999996</v>
      </c>
      <c r="L41" s="332">
        <f t="shared" si="12"/>
        <v>-59498.423999999992</v>
      </c>
    </row>
    <row r="42" spans="1:24" hidden="1" outlineLevel="1" x14ac:dyDescent="0.15">
      <c r="A42" s="344" t="s">
        <v>248</v>
      </c>
      <c r="C42" s="349">
        <f>'B Case Gral'!H54+'B Case Gral'!I54</f>
        <v>0</v>
      </c>
      <c r="D42" s="349">
        <f>'B Case Gral'!J54+'B Case Gral'!K54</f>
        <v>0</v>
      </c>
      <c r="E42" s="349">
        <f>'B Case Gral'!L54+'B Case Gral'!M54</f>
        <v>0</v>
      </c>
      <c r="F42" s="349">
        <f>'B Case Gral'!N54+'B Case Gral'!O54</f>
        <v>0</v>
      </c>
      <c r="G42" s="349">
        <f>'B Case Gral'!P54+'B Case Gral'!Q54</f>
        <v>0</v>
      </c>
      <c r="H42" s="349">
        <f>'B Case Gral'!R54+'B Case Gral'!S54</f>
        <v>0</v>
      </c>
      <c r="I42" s="349">
        <f>'B Case Gral'!T54+'B Case Gral'!U54</f>
        <v>0</v>
      </c>
      <c r="J42" s="349">
        <f>'B Case Gral'!V54+'B Case Gral'!W54</f>
        <v>0</v>
      </c>
      <c r="K42" s="349">
        <f>'B Case Gral'!X54+'B Case Gral'!Y54</f>
        <v>0</v>
      </c>
      <c r="L42" s="349">
        <f>'B Case Gral'!Z54+'B Case Gral'!AA54</f>
        <v>0</v>
      </c>
      <c r="N42" s="349"/>
      <c r="P42" s="349"/>
      <c r="R42" s="349"/>
      <c r="T42" s="349"/>
      <c r="V42" s="349"/>
      <c r="W42" s="349">
        <f>'B Case Gral'!AB54+'B Case Gral'!AC54</f>
        <v>0</v>
      </c>
    </row>
    <row r="43" spans="1:24" hidden="1" outlineLevel="1" x14ac:dyDescent="0.15">
      <c r="A43" s="344" t="s">
        <v>221</v>
      </c>
      <c r="C43" s="349">
        <f>'B Case Gral'!H73+'B Case Gral'!I73</f>
        <v>-10347.552</v>
      </c>
      <c r="D43" s="349">
        <f>'B Case Gral'!J73+'B Case Gral'!K73</f>
        <v>-10347.552</v>
      </c>
      <c r="E43" s="349">
        <f>'B Case Gral'!L73+'B Case Gral'!M73</f>
        <v>-42683.652000000002</v>
      </c>
      <c r="F43" s="349">
        <f>'B Case Gral'!N73+'B Case Gral'!O73</f>
        <v>-47857.428</v>
      </c>
      <c r="G43" s="349">
        <f>'B Case Gral'!P73+'B Case Gral'!Q73</f>
        <v>-51737.759999999995</v>
      </c>
      <c r="H43" s="349">
        <f>'B Case Gral'!R73+'B Case Gral'!S73</f>
        <v>-54324.647999999994</v>
      </c>
      <c r="I43" s="349">
        <f>'B Case Gral'!T73+'B Case Gral'!U73</f>
        <v>-55618.09199999999</v>
      </c>
      <c r="J43" s="349">
        <f>'B Case Gral'!V73+'B Case Gral'!W73</f>
        <v>-56911.536</v>
      </c>
      <c r="K43" s="349">
        <f>'B Case Gral'!X73+'B Case Gral'!Y73</f>
        <v>-58204.979999999996</v>
      </c>
      <c r="L43" s="349">
        <f>'B Case Gral'!Z73+'B Case Gral'!AA73</f>
        <v>-59498.423999999992</v>
      </c>
      <c r="N43" s="349"/>
      <c r="P43" s="349"/>
      <c r="R43" s="349"/>
      <c r="T43" s="349"/>
      <c r="V43" s="349"/>
      <c r="W43" s="349">
        <f>'B Case Gral'!AB73+'B Case Gral'!AC73</f>
        <v>0</v>
      </c>
    </row>
    <row r="44" spans="1:24" ht="7" customHeight="1" collapsed="1" x14ac:dyDescent="0.15">
      <c r="A44" s="322"/>
    </row>
    <row r="45" spans="1:24" s="334" customFormat="1" x14ac:dyDescent="0.15">
      <c r="A45" s="334" t="s">
        <v>244</v>
      </c>
      <c r="C45" s="342">
        <f>C35+C38+C41</f>
        <v>-251315.95199999999</v>
      </c>
      <c r="D45" s="342">
        <f t="shared" ref="D45:L45" si="13">D35+D38+D41</f>
        <v>-253298.35199999998</v>
      </c>
      <c r="E45" s="342">
        <f t="shared" si="13"/>
        <v>-725980.45200000005</v>
      </c>
      <c r="F45" s="342">
        <f t="shared" si="13"/>
        <v>-735968.62799999991</v>
      </c>
      <c r="G45" s="342">
        <f t="shared" si="13"/>
        <v>-744663.36</v>
      </c>
      <c r="H45" s="342">
        <f t="shared" si="13"/>
        <v>-750082.24800000014</v>
      </c>
      <c r="I45" s="342">
        <f t="shared" si="13"/>
        <v>-751375.69200000004</v>
      </c>
      <c r="J45" s="342">
        <f t="shared" si="13"/>
        <v>-752669.13600000006</v>
      </c>
      <c r="K45" s="342">
        <f t="shared" si="13"/>
        <v>-758776.98</v>
      </c>
      <c r="L45" s="342">
        <f t="shared" si="13"/>
        <v>-764884.82399999991</v>
      </c>
    </row>
    <row r="46" spans="1:24" ht="7" customHeight="1" x14ac:dyDescent="0.15"/>
    <row r="47" spans="1:24" s="336" customFormat="1" x14ac:dyDescent="0.15">
      <c r="A47" s="336" t="s">
        <v>247</v>
      </c>
      <c r="C47" s="343">
        <f>C33+C45</f>
        <v>-138035.95199999999</v>
      </c>
      <c r="D47" s="343">
        <f t="shared" ref="D47:L47" si="14">D33+D45</f>
        <v>-138602.35199999998</v>
      </c>
      <c r="E47" s="343">
        <f t="shared" si="14"/>
        <v>763158.39300000016</v>
      </c>
      <c r="F47" s="343">
        <f t="shared" si="14"/>
        <v>922258.07699999993</v>
      </c>
      <c r="G47" s="343">
        <f t="shared" si="14"/>
        <v>1041087.2400000001</v>
      </c>
      <c r="H47" s="343">
        <f t="shared" si="14"/>
        <v>1120212.2819999999</v>
      </c>
      <c r="I47" s="343">
        <f t="shared" si="14"/>
        <v>1160482.8029999998</v>
      </c>
      <c r="J47" s="343">
        <f t="shared" si="14"/>
        <v>1200753.324</v>
      </c>
      <c r="K47" s="343">
        <f t="shared" si="14"/>
        <v>1519409.4449999998</v>
      </c>
      <c r="L47" s="343">
        <f t="shared" si="14"/>
        <v>1563927.9659999995</v>
      </c>
    </row>
    <row r="48" spans="1:24" ht="7" customHeight="1" x14ac:dyDescent="0.15"/>
    <row r="49" spans="1:12" s="340" customFormat="1" x14ac:dyDescent="0.15">
      <c r="A49" s="340" t="s">
        <v>226</v>
      </c>
      <c r="C49" s="350">
        <f>C19+C47</f>
        <v>-269362.22399999999</v>
      </c>
      <c r="D49" s="350">
        <f t="shared" ref="D49:L49" si="15">D19+D47</f>
        <v>-32074.391999999905</v>
      </c>
      <c r="E49" s="350">
        <f t="shared" si="15"/>
        <v>1107540.5850000002</v>
      </c>
      <c r="F49" s="350">
        <f t="shared" si="15"/>
        <v>1266640.2690000001</v>
      </c>
      <c r="G49" s="350">
        <f t="shared" si="15"/>
        <v>1402688.5416000001</v>
      </c>
      <c r="H49" s="350">
        <f t="shared" si="15"/>
        <v>1499032.6931999999</v>
      </c>
      <c r="I49" s="350">
        <f t="shared" si="15"/>
        <v>1539303.2141999998</v>
      </c>
      <c r="J49" s="350">
        <f t="shared" si="15"/>
        <v>1596792.8448000001</v>
      </c>
      <c r="K49" s="350">
        <f t="shared" si="15"/>
        <v>1932668.0753999997</v>
      </c>
      <c r="L49" s="350">
        <f t="shared" si="15"/>
        <v>1977186.5963999995</v>
      </c>
    </row>
    <row r="50" spans="1:12" ht="7" hidden="1" customHeight="1" outlineLevel="1" x14ac:dyDescent="0.15"/>
    <row r="51" spans="1:12" hidden="1" outlineLevel="1" x14ac:dyDescent="0.15">
      <c r="A51" s="322" t="s">
        <v>227</v>
      </c>
      <c r="B51" s="331">
        <v>2.5000000000000001E-2</v>
      </c>
      <c r="C51" s="332">
        <f>Balance!E13*-$B$51</f>
        <v>-53866.294106724723</v>
      </c>
      <c r="D51" s="332">
        <f>Balance!F13*-$B$51</f>
        <v>-202742.39625767418</v>
      </c>
      <c r="E51" s="332">
        <f>Balance!G13*-$B$51</f>
        <v>-194315.3730961236</v>
      </c>
      <c r="F51" s="332">
        <f>Balance!H13*-$B$51</f>
        <v>-244839.14393457305</v>
      </c>
      <c r="G51" s="332">
        <f>Balance!I13*-$B$51</f>
        <v>-235960.15860379778</v>
      </c>
      <c r="H51" s="332">
        <f>Balance!J13*-$B$51</f>
        <v>-235960.15860379778</v>
      </c>
      <c r="I51" s="332">
        <f>Balance!K13*-$B$51</f>
        <v>-235960.15860379778</v>
      </c>
      <c r="J51" s="332">
        <f>Balance!L13*-$B$51</f>
        <v>-235960.15860379778</v>
      </c>
      <c r="K51" s="332">
        <f>Balance!M13*-$B$51</f>
        <v>-235960.15860379778</v>
      </c>
      <c r="L51" s="332">
        <f>Balance!N13*-$B$51</f>
        <v>-235960.15860379778</v>
      </c>
    </row>
    <row r="52" spans="1:12" ht="7" hidden="1" customHeight="1" outlineLevel="1" x14ac:dyDescent="0.15"/>
    <row r="53" spans="1:12" s="334" customFormat="1" hidden="1" outlineLevel="1" x14ac:dyDescent="0.15">
      <c r="A53" s="334" t="s">
        <v>230</v>
      </c>
      <c r="C53" s="341"/>
      <c r="D53" s="341"/>
      <c r="E53" s="341"/>
      <c r="F53" s="341"/>
      <c r="G53" s="341"/>
      <c r="H53" s="341"/>
      <c r="I53" s="341"/>
      <c r="J53" s="341"/>
      <c r="K53" s="341"/>
      <c r="L53" s="341"/>
    </row>
    <row r="54" spans="1:12" ht="7" hidden="1" customHeight="1" outlineLevel="1" x14ac:dyDescent="0.15"/>
    <row r="55" spans="1:12" hidden="1" outlineLevel="1" x14ac:dyDescent="0.15">
      <c r="A55" s="322" t="s">
        <v>228</v>
      </c>
      <c r="C55" s="330">
        <v>0</v>
      </c>
      <c r="D55" s="330">
        <v>0</v>
      </c>
      <c r="E55" s="330">
        <v>0</v>
      </c>
      <c r="F55" s="330">
        <v>0</v>
      </c>
      <c r="G55" s="330">
        <v>0</v>
      </c>
      <c r="H55" s="330">
        <v>0</v>
      </c>
      <c r="I55" s="330">
        <v>0</v>
      </c>
      <c r="J55" s="330">
        <v>0</v>
      </c>
      <c r="K55" s="330">
        <v>0</v>
      </c>
      <c r="L55" s="330">
        <v>0</v>
      </c>
    </row>
    <row r="56" spans="1:12" ht="7" hidden="1" customHeight="1" outlineLevel="1" x14ac:dyDescent="0.15"/>
    <row r="57" spans="1:12" s="334" customFormat="1" hidden="1" outlineLevel="1" x14ac:dyDescent="0.15">
      <c r="A57" s="334" t="s">
        <v>229</v>
      </c>
      <c r="C57" s="341"/>
      <c r="D57" s="341"/>
      <c r="E57" s="341"/>
      <c r="F57" s="341"/>
      <c r="G57" s="341"/>
      <c r="H57" s="341"/>
      <c r="I57" s="341"/>
      <c r="J57" s="341"/>
      <c r="K57" s="341"/>
      <c r="L57" s="341"/>
    </row>
    <row r="58" spans="1:12" ht="7" hidden="1" customHeight="1" outlineLevel="1" x14ac:dyDescent="0.15"/>
    <row r="59" spans="1:12" ht="13" hidden="1" customHeight="1" outlineLevel="1" x14ac:dyDescent="0.15">
      <c r="A59" s="322" t="s">
        <v>349</v>
      </c>
      <c r="C59" s="332">
        <f t="shared" ref="C59:L59" si="16">C49+C9+C29</f>
        <v>-269362.22399999999</v>
      </c>
      <c r="D59" s="332">
        <f t="shared" si="16"/>
        <v>-42552.551999999909</v>
      </c>
      <c r="E59" s="332">
        <f t="shared" si="16"/>
        <v>1035406.7100000001</v>
      </c>
      <c r="F59" s="332">
        <f t="shared" si="16"/>
        <v>1188303.054</v>
      </c>
      <c r="G59" s="332">
        <f t="shared" si="16"/>
        <v>1318651.0056000003</v>
      </c>
      <c r="H59" s="332">
        <f t="shared" si="16"/>
        <v>1410845.6711999997</v>
      </c>
      <c r="I59" s="332">
        <f t="shared" si="16"/>
        <v>1449565.3571999997</v>
      </c>
      <c r="J59" s="332">
        <f t="shared" si="16"/>
        <v>1504456.3368000002</v>
      </c>
      <c r="K59" s="332">
        <f t="shared" si="16"/>
        <v>1837732.9163999998</v>
      </c>
      <c r="L59" s="332">
        <f t="shared" si="16"/>
        <v>1880700.6023999995</v>
      </c>
    </row>
    <row r="60" spans="1:12" ht="7" hidden="1" customHeight="1" outlineLevel="1" x14ac:dyDescent="0.15"/>
    <row r="61" spans="1:12" hidden="1" outlineLevel="1" x14ac:dyDescent="0.15">
      <c r="A61" s="322" t="s">
        <v>231</v>
      </c>
      <c r="B61" s="331">
        <v>0.35</v>
      </c>
      <c r="C61" s="330">
        <f t="shared" ref="C61:L61" si="17">(C19+C9+C47+C29+C51+C55)*-$B$61</f>
        <v>113129.98133735365</v>
      </c>
      <c r="D61" s="330">
        <f t="shared" si="17"/>
        <v>85853.231890185925</v>
      </c>
      <c r="E61" s="330">
        <f t="shared" si="17"/>
        <v>-294381.96791635675</v>
      </c>
      <c r="F61" s="330">
        <f t="shared" si="17"/>
        <v>-330212.3685228994</v>
      </c>
      <c r="G61" s="330">
        <f t="shared" si="17"/>
        <v>-378941.79644867091</v>
      </c>
      <c r="H61" s="330">
        <f t="shared" si="17"/>
        <v>-411209.92940867069</v>
      </c>
      <c r="I61" s="330">
        <f t="shared" si="17"/>
        <v>-424761.8195086706</v>
      </c>
      <c r="J61" s="330">
        <f t="shared" si="17"/>
        <v>-443973.66236867069</v>
      </c>
      <c r="K61" s="330">
        <f t="shared" si="17"/>
        <v>-560620.46522867063</v>
      </c>
      <c r="L61" s="330">
        <f t="shared" si="17"/>
        <v>-575659.15532867052</v>
      </c>
    </row>
    <row r="62" spans="1:12" ht="7" hidden="1" customHeight="1" outlineLevel="1" x14ac:dyDescent="0.15"/>
    <row r="63" spans="1:12" s="340" customFormat="1" hidden="1" outlineLevel="1" x14ac:dyDescent="0.15">
      <c r="A63" s="340" t="s">
        <v>232</v>
      </c>
      <c r="C63" s="350">
        <f t="shared" ref="C63:L63" si="18">C49+C51+C55+C61</f>
        <v>-210098.53676937107</v>
      </c>
      <c r="D63" s="350">
        <f t="shared" si="18"/>
        <v>-148963.55636748817</v>
      </c>
      <c r="E63" s="350">
        <f t="shared" si="18"/>
        <v>618843.24398751988</v>
      </c>
      <c r="F63" s="350">
        <f t="shared" si="18"/>
        <v>691588.75654252758</v>
      </c>
      <c r="G63" s="350">
        <f t="shared" si="18"/>
        <v>787786.58654753154</v>
      </c>
      <c r="H63" s="350">
        <f t="shared" si="18"/>
        <v>851862.60518753133</v>
      </c>
      <c r="I63" s="350">
        <f t="shared" si="18"/>
        <v>878581.23608753155</v>
      </c>
      <c r="J63" s="350">
        <f t="shared" si="18"/>
        <v>916859.02382753172</v>
      </c>
      <c r="K63" s="350">
        <f t="shared" si="18"/>
        <v>1136087.4515675311</v>
      </c>
      <c r="L63" s="350">
        <f t="shared" si="18"/>
        <v>1165567.282467531</v>
      </c>
    </row>
    <row r="64" spans="1:12" ht="7" customHeight="1" collapsed="1" x14ac:dyDescent="0.15"/>
    <row r="65" spans="1:12" x14ac:dyDescent="0.15">
      <c r="A65" s="351" t="s">
        <v>249</v>
      </c>
      <c r="B65" s="352"/>
      <c r="C65" s="352"/>
      <c r="D65" s="352"/>
      <c r="E65" s="352"/>
      <c r="F65" s="352"/>
      <c r="G65" s="352"/>
      <c r="H65" s="352"/>
      <c r="I65" s="352"/>
      <c r="J65" s="352"/>
      <c r="K65" s="352"/>
      <c r="L65" s="352"/>
    </row>
    <row r="66" spans="1:12" ht="7" customHeight="1" x14ac:dyDescent="0.15">
      <c r="A66" s="322"/>
      <c r="B66" s="322"/>
      <c r="C66" s="322"/>
      <c r="D66" s="322"/>
      <c r="E66" s="322"/>
      <c r="F66" s="322"/>
      <c r="G66" s="322"/>
      <c r="H66" s="322"/>
      <c r="I66" s="322"/>
      <c r="J66" s="322"/>
      <c r="K66" s="322"/>
      <c r="L66" s="322"/>
    </row>
    <row r="67" spans="1:12" x14ac:dyDescent="0.15">
      <c r="A67" s="322" t="s">
        <v>250</v>
      </c>
      <c r="C67" s="541">
        <v>0</v>
      </c>
      <c r="D67" s="541">
        <v>0</v>
      </c>
      <c r="E67" s="541">
        <v>0</v>
      </c>
      <c r="F67" s="541">
        <v>15660979.360517552</v>
      </c>
      <c r="G67" s="541">
        <v>15660979.360517552</v>
      </c>
      <c r="H67" s="541">
        <v>0</v>
      </c>
      <c r="I67" s="541">
        <v>0</v>
      </c>
      <c r="J67" s="541">
        <v>0</v>
      </c>
      <c r="K67" s="541">
        <v>0</v>
      </c>
      <c r="L67" s="541">
        <v>0</v>
      </c>
    </row>
    <row r="68" spans="1:12" x14ac:dyDescent="0.15">
      <c r="A68" s="322" t="s">
        <v>251</v>
      </c>
      <c r="B68" s="332"/>
      <c r="C68" s="539">
        <v>0</v>
      </c>
      <c r="D68" s="539">
        <v>0</v>
      </c>
      <c r="E68" s="539">
        <v>0</v>
      </c>
      <c r="F68" s="539">
        <v>14380269.126692673</v>
      </c>
      <c r="G68" s="539">
        <v>14380269.126692673</v>
      </c>
      <c r="H68" s="541">
        <v>0</v>
      </c>
      <c r="I68" s="541">
        <v>0</v>
      </c>
      <c r="J68" s="541">
        <v>0</v>
      </c>
      <c r="K68" s="541">
        <v>0</v>
      </c>
      <c r="L68" s="541">
        <v>0</v>
      </c>
    </row>
    <row r="69" spans="1:12" x14ac:dyDescent="0.15">
      <c r="A69" s="322" t="s">
        <v>252</v>
      </c>
      <c r="C69" s="539">
        <v>0</v>
      </c>
      <c r="D69" s="539">
        <v>0</v>
      </c>
      <c r="E69" s="539">
        <v>0</v>
      </c>
      <c r="F69" s="539">
        <v>1065006.1969244885</v>
      </c>
      <c r="G69" s="539">
        <v>1065006.1969244885</v>
      </c>
      <c r="H69" s="541">
        <v>0</v>
      </c>
      <c r="I69" s="541">
        <v>0</v>
      </c>
      <c r="J69" s="541">
        <v>0</v>
      </c>
      <c r="K69" s="541">
        <v>0</v>
      </c>
      <c r="L69" s="541">
        <v>0</v>
      </c>
    </row>
    <row r="70" spans="1:12" x14ac:dyDescent="0.15">
      <c r="A70" s="322" t="s">
        <v>364</v>
      </c>
      <c r="C70" s="539">
        <v>0</v>
      </c>
      <c r="D70" s="539">
        <v>0</v>
      </c>
      <c r="E70" s="539">
        <v>0</v>
      </c>
      <c r="F70" s="539">
        <v>215704.03690039009</v>
      </c>
      <c r="G70" s="539">
        <v>215704.03690039009</v>
      </c>
      <c r="H70" s="541"/>
      <c r="I70" s="541"/>
      <c r="J70" s="541"/>
      <c r="K70" s="541"/>
      <c r="L70" s="541"/>
    </row>
    <row r="71" spans="1:12" ht="7" customHeight="1" x14ac:dyDescent="0.15"/>
    <row r="72" spans="1:12" x14ac:dyDescent="0.15">
      <c r="A72" s="334" t="s">
        <v>253</v>
      </c>
      <c r="B72" s="334"/>
      <c r="C72" s="342">
        <v>0</v>
      </c>
      <c r="D72" s="342">
        <v>0</v>
      </c>
      <c r="E72" s="342">
        <v>0</v>
      </c>
      <c r="F72" s="342">
        <v>15660979.360517552</v>
      </c>
      <c r="G72" s="342">
        <v>15660979.360517552</v>
      </c>
      <c r="H72" s="342">
        <v>0</v>
      </c>
      <c r="I72" s="342">
        <v>0</v>
      </c>
      <c r="J72" s="342">
        <v>0</v>
      </c>
      <c r="K72" s="342">
        <v>0</v>
      </c>
      <c r="L72" s="342">
        <v>0</v>
      </c>
    </row>
    <row r="73" spans="1:12" ht="7" customHeight="1" x14ac:dyDescent="0.15"/>
    <row r="74" spans="1:12" x14ac:dyDescent="0.15">
      <c r="A74" s="322" t="s">
        <v>254</v>
      </c>
      <c r="C74" s="541">
        <v>0</v>
      </c>
      <c r="D74" s="541">
        <v>0</v>
      </c>
      <c r="E74" s="541">
        <v>0</v>
      </c>
      <c r="F74" s="541">
        <v>-8981811.1799180005</v>
      </c>
      <c r="G74" s="541">
        <v>-8981811.1799180005</v>
      </c>
      <c r="H74" s="541">
        <v>0</v>
      </c>
      <c r="I74" s="541">
        <v>0</v>
      </c>
      <c r="J74" s="541">
        <v>0</v>
      </c>
      <c r="K74" s="541">
        <v>0</v>
      </c>
      <c r="L74" s="541">
        <v>0</v>
      </c>
    </row>
    <row r="75" spans="1:12" outlineLevel="1" x14ac:dyDescent="0.15">
      <c r="A75" s="354" t="s">
        <v>117</v>
      </c>
      <c r="C75" s="539">
        <v>0</v>
      </c>
      <c r="D75" s="539">
        <v>0</v>
      </c>
      <c r="E75" s="539">
        <v>0</v>
      </c>
      <c r="F75" s="539">
        <v>-8333893.9972999999</v>
      </c>
      <c r="G75" s="539">
        <v>-8333893.9972999999</v>
      </c>
      <c r="H75" s="539">
        <v>0</v>
      </c>
      <c r="I75" s="539">
        <v>0</v>
      </c>
      <c r="J75" s="539">
        <v>0</v>
      </c>
      <c r="K75" s="539">
        <v>0</v>
      </c>
      <c r="L75" s="539">
        <v>0</v>
      </c>
    </row>
    <row r="76" spans="1:12" outlineLevel="1" x14ac:dyDescent="0.15">
      <c r="A76" s="354" t="s">
        <v>118</v>
      </c>
      <c r="C76" s="539">
        <v>0</v>
      </c>
      <c r="D76" s="539">
        <v>0</v>
      </c>
      <c r="E76" s="539">
        <v>0</v>
      </c>
      <c r="F76" s="539">
        <v>-647917.18261799996</v>
      </c>
      <c r="G76" s="539">
        <v>-647917.18261799996</v>
      </c>
      <c r="H76" s="539">
        <v>0</v>
      </c>
      <c r="I76" s="539">
        <v>0</v>
      </c>
      <c r="J76" s="539">
        <v>0</v>
      </c>
      <c r="K76" s="539">
        <v>0</v>
      </c>
      <c r="L76" s="539">
        <v>0</v>
      </c>
    </row>
    <row r="77" spans="1:12" x14ac:dyDescent="0.15">
      <c r="A77" s="322" t="s">
        <v>255</v>
      </c>
      <c r="C77" s="541">
        <v>-443486.44616382511</v>
      </c>
      <c r="D77" s="541">
        <v>-352877.3113738955</v>
      </c>
      <c r="E77" s="541">
        <v>-308787.78953389562</v>
      </c>
      <c r="F77" s="541">
        <v>-240892.73090168511</v>
      </c>
      <c r="G77" s="541">
        <v>-112852.98924044808</v>
      </c>
      <c r="H77" s="541">
        <v>0</v>
      </c>
      <c r="I77" s="541">
        <v>0</v>
      </c>
      <c r="J77" s="541">
        <v>0</v>
      </c>
      <c r="K77" s="541">
        <v>0</v>
      </c>
      <c r="L77" s="541">
        <v>0</v>
      </c>
    </row>
    <row r="78" spans="1:12" x14ac:dyDescent="0.15">
      <c r="A78" s="322" t="s">
        <v>204</v>
      </c>
      <c r="C78" s="541">
        <v>-102567.16724431205</v>
      </c>
      <c r="D78" s="541">
        <v>-189918.618106512</v>
      </c>
      <c r="E78" s="541">
        <v>-285830.46161352482</v>
      </c>
      <c r="F78" s="541">
        <v>-826829.37525432266</v>
      </c>
      <c r="G78" s="541">
        <v>-453388.30788773275</v>
      </c>
      <c r="H78" s="541">
        <v>0</v>
      </c>
      <c r="I78" s="541">
        <v>0</v>
      </c>
      <c r="J78" s="541">
        <v>0</v>
      </c>
      <c r="K78" s="541">
        <v>0</v>
      </c>
      <c r="L78" s="541">
        <v>0</v>
      </c>
    </row>
    <row r="79" spans="1:12" ht="7" customHeight="1" x14ac:dyDescent="0.15">
      <c r="A79" s="322"/>
    </row>
    <row r="80" spans="1:12" x14ac:dyDescent="0.15">
      <c r="A80" s="334" t="s">
        <v>256</v>
      </c>
      <c r="B80" s="334"/>
      <c r="C80" s="342">
        <v>-546053.61340813711</v>
      </c>
      <c r="D80" s="342">
        <v>-542795.9294804075</v>
      </c>
      <c r="E80" s="342">
        <v>-594618.25114742038</v>
      </c>
      <c r="F80" s="342">
        <v>-10049533.286074007</v>
      </c>
      <c r="G80" s="342">
        <v>-9548052.4770461824</v>
      </c>
      <c r="H80" s="342">
        <v>0</v>
      </c>
      <c r="I80" s="342">
        <v>0</v>
      </c>
      <c r="J80" s="342">
        <v>0</v>
      </c>
      <c r="K80" s="342">
        <v>0</v>
      </c>
      <c r="L80" s="342">
        <v>0</v>
      </c>
    </row>
    <row r="81" spans="1:12" ht="7" customHeight="1" x14ac:dyDescent="0.15"/>
    <row r="82" spans="1:12" x14ac:dyDescent="0.15">
      <c r="A82" s="356" t="s">
        <v>257</v>
      </c>
      <c r="B82" s="356"/>
      <c r="C82" s="540">
        <v>-546053.61340813711</v>
      </c>
      <c r="D82" s="540">
        <v>-542795.9294804075</v>
      </c>
      <c r="E82" s="540">
        <v>-594618.25114742038</v>
      </c>
      <c r="F82" s="540">
        <v>5611446.0744435452</v>
      </c>
      <c r="G82" s="540">
        <v>6112926.8834713697</v>
      </c>
      <c r="H82" s="540">
        <v>0</v>
      </c>
      <c r="I82" s="540">
        <v>0</v>
      </c>
      <c r="J82" s="540">
        <v>0</v>
      </c>
      <c r="K82" s="540">
        <v>0</v>
      </c>
      <c r="L82" s="540">
        <v>0</v>
      </c>
    </row>
    <row r="83" spans="1:12" ht="7" customHeight="1" outlineLevel="1" x14ac:dyDescent="0.15"/>
    <row r="84" spans="1:12" outlineLevel="1" x14ac:dyDescent="0.15">
      <c r="A84" s="322" t="s">
        <v>227</v>
      </c>
      <c r="B84" s="331">
        <v>0</v>
      </c>
      <c r="C84" s="332">
        <v>0</v>
      </c>
      <c r="D84" s="332">
        <v>0</v>
      </c>
      <c r="E84" s="332">
        <v>0</v>
      </c>
      <c r="F84" s="332">
        <v>0</v>
      </c>
      <c r="G84" s="332">
        <v>0</v>
      </c>
      <c r="H84" s="332">
        <v>0</v>
      </c>
      <c r="I84" s="332">
        <v>0</v>
      </c>
      <c r="J84" s="332">
        <v>0</v>
      </c>
      <c r="K84" s="332">
        <v>0</v>
      </c>
      <c r="L84" s="332">
        <v>0</v>
      </c>
    </row>
    <row r="85" spans="1:12" ht="7" customHeight="1" outlineLevel="1" x14ac:dyDescent="0.15"/>
    <row r="86" spans="1:12" outlineLevel="1" x14ac:dyDescent="0.15">
      <c r="A86" s="334" t="s">
        <v>230</v>
      </c>
      <c r="B86" s="334"/>
      <c r="C86" s="342">
        <v>-546053.61340813711</v>
      </c>
      <c r="D86" s="342">
        <v>-542795.9294804075</v>
      </c>
      <c r="E86" s="342">
        <v>-594618.25114742038</v>
      </c>
      <c r="F86" s="342">
        <v>5611446.0744435452</v>
      </c>
      <c r="G86" s="342">
        <v>6112926.8834713697</v>
      </c>
      <c r="H86" s="342">
        <v>0</v>
      </c>
      <c r="I86" s="342">
        <v>0</v>
      </c>
      <c r="J86" s="342">
        <v>0</v>
      </c>
      <c r="K86" s="342">
        <v>0</v>
      </c>
      <c r="L86" s="342">
        <v>0</v>
      </c>
    </row>
    <row r="87" spans="1:12" ht="7" customHeight="1" outlineLevel="1" x14ac:dyDescent="0.15"/>
    <row r="88" spans="1:12" outlineLevel="1" x14ac:dyDescent="0.15">
      <c r="A88" s="322" t="s">
        <v>228</v>
      </c>
      <c r="C88" s="541">
        <v>0</v>
      </c>
      <c r="D88" s="541">
        <v>0</v>
      </c>
      <c r="E88" s="541">
        <v>0</v>
      </c>
      <c r="F88" s="541">
        <v>0</v>
      </c>
      <c r="G88" s="541">
        <v>0</v>
      </c>
      <c r="H88" s="541">
        <v>0</v>
      </c>
      <c r="I88" s="541">
        <v>0</v>
      </c>
      <c r="J88" s="541">
        <v>0</v>
      </c>
      <c r="K88" s="541">
        <v>0</v>
      </c>
      <c r="L88" s="541">
        <v>0</v>
      </c>
    </row>
    <row r="89" spans="1:12" ht="7" customHeight="1" outlineLevel="1" x14ac:dyDescent="0.15"/>
    <row r="90" spans="1:12" outlineLevel="1" x14ac:dyDescent="0.15">
      <c r="A90" s="334" t="s">
        <v>229</v>
      </c>
      <c r="B90" s="334"/>
      <c r="C90" s="342">
        <v>-546053.61340813711</v>
      </c>
      <c r="D90" s="342">
        <v>-542795.9294804075</v>
      </c>
      <c r="E90" s="342">
        <v>-594618.25114742038</v>
      </c>
      <c r="F90" s="342">
        <v>5611446.0744435452</v>
      </c>
      <c r="G90" s="342">
        <v>6112926.8834713697</v>
      </c>
      <c r="H90" s="342">
        <v>0</v>
      </c>
      <c r="I90" s="342">
        <v>0</v>
      </c>
      <c r="J90" s="342">
        <v>0</v>
      </c>
      <c r="K90" s="342">
        <v>0</v>
      </c>
      <c r="L90" s="342">
        <v>0</v>
      </c>
    </row>
    <row r="91" spans="1:12" ht="7" customHeight="1" outlineLevel="1" x14ac:dyDescent="0.15"/>
    <row r="92" spans="1:12" outlineLevel="1" x14ac:dyDescent="0.15">
      <c r="A92" s="322" t="s">
        <v>272</v>
      </c>
      <c r="B92" s="331">
        <v>0.35</v>
      </c>
      <c r="C92" s="541">
        <v>191118.76469284797</v>
      </c>
      <c r="D92" s="541">
        <v>189978.57531814263</v>
      </c>
      <c r="E92" s="541">
        <v>208116.38790159713</v>
      </c>
      <c r="F92" s="541">
        <v>-1964006.1260552406</v>
      </c>
      <c r="G92" s="541">
        <v>-2139524.4092149795</v>
      </c>
      <c r="H92" s="541">
        <v>0</v>
      </c>
      <c r="I92" s="541">
        <v>0</v>
      </c>
      <c r="J92" s="541">
        <v>0</v>
      </c>
      <c r="K92" s="541">
        <v>0</v>
      </c>
      <c r="L92" s="541">
        <v>0</v>
      </c>
    </row>
    <row r="93" spans="1:12" ht="7" customHeight="1" outlineLevel="1" x14ac:dyDescent="0.15"/>
    <row r="94" spans="1:12" outlineLevel="1" x14ac:dyDescent="0.15">
      <c r="A94" s="356" t="s">
        <v>258</v>
      </c>
      <c r="B94" s="356"/>
      <c r="C94" s="359">
        <v>-354934.84871528915</v>
      </c>
      <c r="D94" s="359">
        <v>-352817.35416226485</v>
      </c>
      <c r="E94" s="359">
        <v>-386501.86324582325</v>
      </c>
      <c r="F94" s="359">
        <v>3647439.9483883046</v>
      </c>
      <c r="G94" s="359">
        <v>3973402.4742563902</v>
      </c>
      <c r="H94" s="359">
        <v>0</v>
      </c>
      <c r="I94" s="359">
        <v>0</v>
      </c>
      <c r="J94" s="359">
        <v>0</v>
      </c>
      <c r="K94" s="359">
        <v>0</v>
      </c>
      <c r="L94" s="359">
        <v>0</v>
      </c>
    </row>
    <row r="95" spans="1:12" ht="7" customHeight="1" x14ac:dyDescent="0.15"/>
    <row r="96" spans="1:12" x14ac:dyDescent="0.15">
      <c r="A96" s="351" t="s">
        <v>259</v>
      </c>
      <c r="B96" s="352"/>
      <c r="C96" s="352"/>
      <c r="D96" s="352"/>
      <c r="E96" s="352"/>
      <c r="F96" s="352"/>
      <c r="G96" s="352"/>
      <c r="H96" s="352"/>
      <c r="I96" s="352"/>
      <c r="J96" s="352"/>
      <c r="K96" s="352"/>
      <c r="L96" s="352"/>
    </row>
    <row r="97" spans="1:26" ht="7" customHeight="1" x14ac:dyDescent="0.15">
      <c r="A97" s="322"/>
      <c r="B97" s="322"/>
      <c r="C97" s="322"/>
      <c r="D97" s="322"/>
      <c r="E97" s="322"/>
      <c r="F97" s="322"/>
      <c r="G97" s="322"/>
      <c r="H97" s="322"/>
      <c r="I97" s="322"/>
      <c r="J97" s="322"/>
      <c r="K97" s="322"/>
      <c r="L97" s="322"/>
    </row>
    <row r="98" spans="1:26" x14ac:dyDescent="0.15">
      <c r="A98" s="322" t="s">
        <v>250</v>
      </c>
      <c r="B98" s="322"/>
      <c r="C98" s="353">
        <f>'B Case Gral'!H295+'B Case Gral'!I295</f>
        <v>0</v>
      </c>
      <c r="D98" s="353">
        <f>'B Case Gral'!J295+'B Case Gral'!K295</f>
        <v>2173950</v>
      </c>
      <c r="E98" s="353">
        <f>'B Case Gral'!L295+'B Case Gral'!M295</f>
        <v>4891387.5</v>
      </c>
      <c r="F98" s="353">
        <f>'B Case Gral'!N295+'B Case Gral'!O295</f>
        <v>5616037.5</v>
      </c>
      <c r="G98" s="353">
        <f>'B Case Gral'!P295+'B Case Gral'!Q295</f>
        <v>6340687.5</v>
      </c>
      <c r="H98" s="353">
        <f>'B Case Gral'!R295+'B Case Gral'!S295</f>
        <v>3442087.5</v>
      </c>
      <c r="I98" s="353">
        <f>'B Case Gral'!T295+'B Case Gral'!U295</f>
        <v>0</v>
      </c>
      <c r="J98" s="353">
        <f>'B Case Gral'!V295+'B Case Gral'!W295</f>
        <v>0</v>
      </c>
      <c r="K98" s="353">
        <f>'B Case Gral'!X295+'B Case Gral'!Y295</f>
        <v>0</v>
      </c>
      <c r="L98" s="353">
        <f>'B Case Gral'!Z295+'B Case Gral'!AA295</f>
        <v>0</v>
      </c>
      <c r="N98" s="353"/>
      <c r="P98" s="353"/>
      <c r="R98" s="353"/>
      <c r="T98" s="353"/>
      <c r="V98" s="353"/>
      <c r="W98" s="353">
        <f>'B Case Gral'!AA295+'B Case Gral'!AB240</f>
        <v>0</v>
      </c>
      <c r="X98" s="353">
        <f>'B Case Gral'!AB240+'B Case Gral'!AC240</f>
        <v>0</v>
      </c>
      <c r="Y98" s="353">
        <f>'B Case Gral'!AC240+'B Case Gral'!AD240</f>
        <v>0</v>
      </c>
      <c r="Z98" s="353">
        <f>'B Case Gral'!AD240+'B Case Gral'!AE240</f>
        <v>0</v>
      </c>
    </row>
    <row r="99" spans="1:26" ht="7" customHeight="1" x14ac:dyDescent="0.15">
      <c r="A99" s="322"/>
      <c r="B99" s="322"/>
      <c r="C99" s="322"/>
      <c r="D99" s="322"/>
      <c r="E99" s="322"/>
      <c r="F99" s="322"/>
      <c r="G99" s="322"/>
      <c r="H99" s="322"/>
      <c r="I99" s="322"/>
      <c r="J99" s="322"/>
      <c r="K99" s="322"/>
      <c r="L99" s="322"/>
    </row>
    <row r="100" spans="1:26" x14ac:dyDescent="0.15">
      <c r="A100" s="334" t="s">
        <v>260</v>
      </c>
      <c r="B100" s="334"/>
      <c r="C100" s="342">
        <f>C98</f>
        <v>0</v>
      </c>
      <c r="D100" s="342">
        <f t="shared" ref="D100:L100" si="19">D98</f>
        <v>2173950</v>
      </c>
      <c r="E100" s="342">
        <f t="shared" si="19"/>
        <v>4891387.5</v>
      </c>
      <c r="F100" s="342">
        <f t="shared" si="19"/>
        <v>5616037.5</v>
      </c>
      <c r="G100" s="342">
        <f t="shared" si="19"/>
        <v>6340687.5</v>
      </c>
      <c r="H100" s="342">
        <f t="shared" si="19"/>
        <v>3442087.5</v>
      </c>
      <c r="I100" s="342">
        <f t="shared" si="19"/>
        <v>0</v>
      </c>
      <c r="J100" s="342">
        <f t="shared" si="19"/>
        <v>0</v>
      </c>
      <c r="K100" s="342">
        <f t="shared" si="19"/>
        <v>0</v>
      </c>
      <c r="L100" s="342">
        <f t="shared" si="19"/>
        <v>0</v>
      </c>
    </row>
    <row r="101" spans="1:26" ht="7" customHeight="1" x14ac:dyDescent="0.15">
      <c r="A101" s="322"/>
      <c r="B101" s="322"/>
      <c r="C101" s="322"/>
      <c r="D101" s="322"/>
      <c r="E101" s="322"/>
      <c r="F101" s="322"/>
      <c r="G101" s="322"/>
      <c r="H101" s="322"/>
      <c r="I101" s="322"/>
      <c r="J101" s="322"/>
      <c r="K101" s="322"/>
      <c r="L101" s="322"/>
    </row>
    <row r="102" spans="1:26" x14ac:dyDescent="0.15">
      <c r="A102" s="322" t="s">
        <v>254</v>
      </c>
      <c r="B102" s="322"/>
      <c r="C102" s="353">
        <f t="shared" ref="C102" si="20">SUM(C103:C104)</f>
        <v>0</v>
      </c>
      <c r="D102" s="353">
        <f t="shared" ref="D102:K102" si="21">SUM(D103:D104)</f>
        <v>-1220888.7132310113</v>
      </c>
      <c r="E102" s="353">
        <f t="shared" si="21"/>
        <v>-2441777.4264620226</v>
      </c>
      <c r="F102" s="353">
        <f t="shared" si="21"/>
        <v>-2441777.4264620226</v>
      </c>
      <c r="G102" s="353">
        <f t="shared" si="21"/>
        <v>-2441777.4264620226</v>
      </c>
      <c r="H102" s="353">
        <f t="shared" si="21"/>
        <v>-1220888.7132310113</v>
      </c>
      <c r="I102" s="353">
        <f t="shared" si="21"/>
        <v>0</v>
      </c>
      <c r="J102" s="353">
        <f t="shared" si="21"/>
        <v>0</v>
      </c>
      <c r="K102" s="353">
        <f t="shared" si="21"/>
        <v>0</v>
      </c>
    </row>
    <row r="103" spans="1:26" x14ac:dyDescent="0.15">
      <c r="A103" s="354" t="s">
        <v>262</v>
      </c>
      <c r="B103" s="322"/>
      <c r="C103" s="355">
        <f>'B Case Gral'!$F$288*('B Case Gral'!H292+'B Case Gral'!I292)</f>
        <v>0</v>
      </c>
      <c r="D103" s="355">
        <f>'B Case Gral'!$F$288*('B Case Gral'!J292+'B Case Gral'!K292)</f>
        <v>-724650</v>
      </c>
      <c r="E103" s="355">
        <f>'B Case Gral'!$F$288*('B Case Gral'!L292+'B Case Gral'!M292)</f>
        <v>-1449300</v>
      </c>
      <c r="F103" s="355">
        <f>'B Case Gral'!$F$288*('B Case Gral'!N292+'B Case Gral'!O292)</f>
        <v>-1449300</v>
      </c>
      <c r="G103" s="355">
        <f>'B Case Gral'!$F$288*('B Case Gral'!P292+'B Case Gral'!Q292)</f>
        <v>-1449300</v>
      </c>
      <c r="H103" s="355">
        <f>'B Case Gral'!$F$288*('B Case Gral'!R292+'B Case Gral'!S292)</f>
        <v>-724650</v>
      </c>
      <c r="I103" s="355">
        <f>'B Case Gral'!$F$288*('B Case Gral'!T292+'B Case Gral'!U292)</f>
        <v>0</v>
      </c>
      <c r="J103" s="355">
        <f>'B Case Gral'!$F$288*('B Case Gral'!V292+'B Case Gral'!W292)</f>
        <v>0</v>
      </c>
      <c r="K103" s="355">
        <f>'B Case Gral'!$F$288*('B Case Gral'!X292+'B Case Gral'!Y292)</f>
        <v>0</v>
      </c>
      <c r="L103" s="355">
        <f>'B Case Gral'!$F$288*('B Case Gral'!Z292+'B Case Gral'!AA292)</f>
        <v>0</v>
      </c>
      <c r="N103" s="355"/>
      <c r="P103" s="355"/>
      <c r="R103" s="355"/>
      <c r="T103" s="355"/>
      <c r="V103" s="355"/>
      <c r="W103" s="355">
        <f>'B Case Gral'!$F$288*('B Case Gral'!AA292+'B Case Gral'!AB237)</f>
        <v>0</v>
      </c>
    </row>
    <row r="104" spans="1:26" x14ac:dyDescent="0.15">
      <c r="A104" s="354" t="s">
        <v>217</v>
      </c>
      <c r="B104" s="322"/>
      <c r="C104" s="355">
        <f>'B Case Gral'!$F$289*('B Case Gral'!H292+'B Case Gral'!I292)</f>
        <v>0</v>
      </c>
      <c r="D104" s="355">
        <f>'B Case Gral'!$F$289*('B Case Gral'!J292+'B Case Gral'!K292)</f>
        <v>-496238.71323101118</v>
      </c>
      <c r="E104" s="355">
        <f>'B Case Gral'!$F$289*('B Case Gral'!L292+'B Case Gral'!M292)</f>
        <v>-992477.42646202235</v>
      </c>
      <c r="F104" s="355">
        <f>'B Case Gral'!$F$289*('B Case Gral'!N292+'B Case Gral'!O292)</f>
        <v>-992477.42646202235</v>
      </c>
      <c r="G104" s="355">
        <f>'B Case Gral'!$F$289*('B Case Gral'!P292+'B Case Gral'!Q292)</f>
        <v>-992477.42646202235</v>
      </c>
      <c r="H104" s="355">
        <f>'B Case Gral'!$F$289*('B Case Gral'!R292+'B Case Gral'!S292)</f>
        <v>-496238.71323101118</v>
      </c>
      <c r="I104" s="355">
        <f>'B Case Gral'!$F$289*('B Case Gral'!T292+'B Case Gral'!U292)</f>
        <v>0</v>
      </c>
      <c r="J104" s="355">
        <f>'B Case Gral'!$F$289*('B Case Gral'!V292+'B Case Gral'!W292)</f>
        <v>0</v>
      </c>
      <c r="K104" s="355">
        <f>'B Case Gral'!$F$289*('B Case Gral'!X292+'B Case Gral'!Y292)</f>
        <v>0</v>
      </c>
      <c r="L104" s="355">
        <f>'B Case Gral'!$F$289*('B Case Gral'!Z292+'B Case Gral'!AA292)</f>
        <v>0</v>
      </c>
      <c r="P104" s="355"/>
      <c r="R104" s="355"/>
      <c r="T104" s="355"/>
      <c r="V104" s="355"/>
      <c r="W104" s="355">
        <f>'B Case Gral'!$F$289*('B Case Gral'!AA292+'B Case Gral'!AB237)</f>
        <v>0</v>
      </c>
    </row>
    <row r="105" spans="1:26" x14ac:dyDescent="0.15">
      <c r="A105" s="322" t="s">
        <v>265</v>
      </c>
      <c r="C105" s="333">
        <f>'B Case Gral'!G240+'B Case Gral'!H240</f>
        <v>-90000</v>
      </c>
      <c r="D105" s="333">
        <f>'B Case Gral'!I240+'B Case Gral'!J240</f>
        <v>-180000</v>
      </c>
      <c r="E105" s="333">
        <f>'B Case Gral'!K240+'B Case Gral'!L240</f>
        <v>-360000</v>
      </c>
      <c r="F105" s="333">
        <f>'B Case Gral'!M240+'B Case Gral'!N240</f>
        <v>-360000</v>
      </c>
      <c r="G105" s="333">
        <f>'B Case Gral'!O240+'B Case Gral'!P240</f>
        <v>-360000</v>
      </c>
      <c r="H105" s="333">
        <f>'B Case Gral'!Q240+'B Case Gral'!R240</f>
        <v>-360000</v>
      </c>
      <c r="I105" s="333">
        <f>'B Case Gral'!S240+'B Case Gral'!T240</f>
        <v>-360000</v>
      </c>
      <c r="J105" s="333">
        <f>'B Case Gral'!U240+'B Case Gral'!V240</f>
        <v>-360000</v>
      </c>
      <c r="K105" s="333">
        <f>'B Case Gral'!W240+'B Case Gral'!X240</f>
        <v>-360000</v>
      </c>
      <c r="L105" s="333">
        <f>'B Case Gral'!Y240+'B Case Gral'!Z240</f>
        <v>-360000</v>
      </c>
    </row>
    <row r="106" spans="1:26" x14ac:dyDescent="0.15">
      <c r="A106" s="322" t="s">
        <v>204</v>
      </c>
      <c r="B106" s="361">
        <v>5.1249999999999997E-2</v>
      </c>
      <c r="C106" s="353">
        <f>C98*-$B$106</f>
        <v>0</v>
      </c>
      <c r="D106" s="353">
        <f t="shared" ref="D106:L106" si="22">D98*-$B$106</f>
        <v>-111414.9375</v>
      </c>
      <c r="E106" s="353">
        <f t="shared" si="22"/>
        <v>-250683.60937499997</v>
      </c>
      <c r="F106" s="353">
        <f t="shared" si="22"/>
        <v>-287821.921875</v>
      </c>
      <c r="G106" s="353">
        <f t="shared" si="22"/>
        <v>-324960.234375</v>
      </c>
      <c r="H106" s="353">
        <f t="shared" si="22"/>
        <v>-176406.984375</v>
      </c>
      <c r="I106" s="353">
        <f t="shared" si="22"/>
        <v>0</v>
      </c>
      <c r="J106" s="353">
        <f t="shared" si="22"/>
        <v>0</v>
      </c>
      <c r="K106" s="353">
        <f t="shared" si="22"/>
        <v>0</v>
      </c>
      <c r="L106" s="353">
        <f t="shared" si="22"/>
        <v>0</v>
      </c>
    </row>
    <row r="107" spans="1:26" ht="7" customHeight="1" x14ac:dyDescent="0.15">
      <c r="A107" s="322"/>
      <c r="B107" s="322"/>
      <c r="C107" s="322"/>
      <c r="D107" s="322"/>
      <c r="E107" s="322"/>
      <c r="F107" s="322"/>
      <c r="G107" s="322"/>
      <c r="H107" s="322"/>
      <c r="I107" s="322"/>
      <c r="J107" s="322"/>
      <c r="K107" s="322"/>
      <c r="L107" s="322"/>
    </row>
    <row r="108" spans="1:26" x14ac:dyDescent="0.15">
      <c r="A108" s="334" t="s">
        <v>256</v>
      </c>
      <c r="B108" s="334"/>
      <c r="C108" s="342">
        <f>C102+C105+C106</f>
        <v>-90000</v>
      </c>
      <c r="D108" s="342">
        <f t="shared" ref="D108:L108" si="23">D102+D105+D106</f>
        <v>-1512303.6507310113</v>
      </c>
      <c r="E108" s="342">
        <f t="shared" si="23"/>
        <v>-3052461.0358370226</v>
      </c>
      <c r="F108" s="342">
        <f t="shared" si="23"/>
        <v>-3089599.3483370226</v>
      </c>
      <c r="G108" s="342">
        <f t="shared" si="23"/>
        <v>-3126737.6608370226</v>
      </c>
      <c r="H108" s="342">
        <f t="shared" si="23"/>
        <v>-1757295.6976060113</v>
      </c>
      <c r="I108" s="342">
        <f t="shared" si="23"/>
        <v>-360000</v>
      </c>
      <c r="J108" s="342">
        <f t="shared" si="23"/>
        <v>-360000</v>
      </c>
      <c r="K108" s="342">
        <f t="shared" si="23"/>
        <v>-360000</v>
      </c>
      <c r="L108" s="342">
        <f t="shared" si="23"/>
        <v>-360000</v>
      </c>
    </row>
    <row r="109" spans="1:26" ht="7" customHeight="1" x14ac:dyDescent="0.15">
      <c r="A109" s="322"/>
      <c r="B109" s="322"/>
      <c r="C109" s="322"/>
      <c r="D109" s="322"/>
      <c r="E109" s="322"/>
      <c r="F109" s="322"/>
      <c r="G109" s="322"/>
      <c r="H109" s="322"/>
      <c r="I109" s="322"/>
      <c r="J109" s="322"/>
      <c r="K109" s="322"/>
      <c r="L109" s="322"/>
    </row>
    <row r="110" spans="1:26" x14ac:dyDescent="0.15">
      <c r="A110" s="356" t="s">
        <v>257</v>
      </c>
      <c r="B110" s="356"/>
      <c r="C110" s="357">
        <f>C100+C105</f>
        <v>-90000</v>
      </c>
      <c r="D110" s="357">
        <f t="shared" ref="D110:L110" si="24">D100+D105</f>
        <v>1993950</v>
      </c>
      <c r="E110" s="357">
        <f t="shared" si="24"/>
        <v>4531387.5</v>
      </c>
      <c r="F110" s="357">
        <f t="shared" si="24"/>
        <v>5256037.5</v>
      </c>
      <c r="G110" s="357">
        <f t="shared" si="24"/>
        <v>5980687.5</v>
      </c>
      <c r="H110" s="357">
        <f t="shared" si="24"/>
        <v>3082087.5</v>
      </c>
      <c r="I110" s="357">
        <f t="shared" si="24"/>
        <v>-360000</v>
      </c>
      <c r="J110" s="357">
        <f t="shared" si="24"/>
        <v>-360000</v>
      </c>
      <c r="K110" s="357">
        <f t="shared" si="24"/>
        <v>-360000</v>
      </c>
      <c r="L110" s="357">
        <f t="shared" si="24"/>
        <v>-360000</v>
      </c>
    </row>
    <row r="111" spans="1:26" hidden="1" outlineLevel="1" x14ac:dyDescent="0.15">
      <c r="A111" s="322"/>
      <c r="B111" s="322"/>
      <c r="C111" s="322"/>
      <c r="D111" s="322"/>
      <c r="E111" s="322"/>
      <c r="F111" s="322"/>
      <c r="G111" s="322"/>
      <c r="H111" s="322"/>
      <c r="I111" s="322"/>
      <c r="J111" s="322"/>
      <c r="K111" s="322"/>
      <c r="L111" s="322"/>
    </row>
    <row r="112" spans="1:26" hidden="1" outlineLevel="1" x14ac:dyDescent="0.15">
      <c r="A112" s="322" t="s">
        <v>227</v>
      </c>
      <c r="B112" s="322"/>
      <c r="C112" s="333">
        <v>0</v>
      </c>
      <c r="D112" s="333">
        <v>0</v>
      </c>
      <c r="E112" s="333">
        <v>0</v>
      </c>
      <c r="F112" s="333">
        <v>0</v>
      </c>
      <c r="G112" s="333">
        <v>0</v>
      </c>
      <c r="H112" s="333">
        <v>0</v>
      </c>
      <c r="I112" s="333">
        <v>0</v>
      </c>
      <c r="J112" s="333">
        <v>0</v>
      </c>
      <c r="K112" s="333">
        <v>0</v>
      </c>
      <c r="L112" s="333">
        <v>0</v>
      </c>
    </row>
    <row r="113" spans="1:23" hidden="1" outlineLevel="1" x14ac:dyDescent="0.15">
      <c r="A113" s="322"/>
      <c r="B113" s="322"/>
      <c r="C113" s="322"/>
      <c r="D113" s="322"/>
      <c r="E113" s="322"/>
      <c r="F113" s="322"/>
      <c r="G113" s="322"/>
      <c r="H113" s="322"/>
      <c r="I113" s="322"/>
      <c r="J113" s="322"/>
      <c r="K113" s="322"/>
      <c r="L113" s="322"/>
    </row>
    <row r="114" spans="1:23" hidden="1" outlineLevel="1" x14ac:dyDescent="0.15">
      <c r="A114" s="334" t="s">
        <v>230</v>
      </c>
      <c r="B114" s="334"/>
      <c r="C114" s="342">
        <f>C110+C112</f>
        <v>-90000</v>
      </c>
      <c r="D114" s="342">
        <f t="shared" ref="D114:L114" si="25">D110+D112</f>
        <v>1993950</v>
      </c>
      <c r="E114" s="342">
        <f t="shared" si="25"/>
        <v>4531387.5</v>
      </c>
      <c r="F114" s="342">
        <f t="shared" si="25"/>
        <v>5256037.5</v>
      </c>
      <c r="G114" s="342">
        <f t="shared" si="25"/>
        <v>5980687.5</v>
      </c>
      <c r="H114" s="342">
        <f t="shared" si="25"/>
        <v>3082087.5</v>
      </c>
      <c r="I114" s="342">
        <f t="shared" si="25"/>
        <v>-360000</v>
      </c>
      <c r="J114" s="342">
        <f t="shared" si="25"/>
        <v>-360000</v>
      </c>
      <c r="K114" s="342">
        <f t="shared" si="25"/>
        <v>-360000</v>
      </c>
      <c r="L114" s="342">
        <f t="shared" si="25"/>
        <v>-360000</v>
      </c>
    </row>
    <row r="115" spans="1:23" hidden="1" outlineLevel="1" x14ac:dyDescent="0.15">
      <c r="A115" s="322"/>
      <c r="B115" s="322"/>
      <c r="C115" s="322"/>
      <c r="D115" s="322"/>
      <c r="E115" s="322"/>
      <c r="F115" s="322"/>
      <c r="G115" s="322"/>
      <c r="H115" s="322"/>
      <c r="I115" s="322"/>
      <c r="J115" s="322"/>
      <c r="K115" s="322"/>
      <c r="L115" s="322"/>
    </row>
    <row r="116" spans="1:23" hidden="1" outlineLevel="1" x14ac:dyDescent="0.15">
      <c r="A116" s="322" t="s">
        <v>228</v>
      </c>
      <c r="B116" s="322"/>
      <c r="C116" s="353">
        <v>0</v>
      </c>
      <c r="D116" s="353">
        <v>0</v>
      </c>
      <c r="E116" s="353">
        <v>0</v>
      </c>
      <c r="F116" s="353">
        <v>0</v>
      </c>
      <c r="G116" s="353">
        <v>0</v>
      </c>
      <c r="H116" s="353">
        <v>0</v>
      </c>
      <c r="I116" s="353">
        <v>0</v>
      </c>
      <c r="J116" s="353">
        <v>0</v>
      </c>
      <c r="K116" s="353">
        <v>0</v>
      </c>
      <c r="L116" s="353">
        <v>0</v>
      </c>
    </row>
    <row r="117" spans="1:23" hidden="1" outlineLevel="1" x14ac:dyDescent="0.15">
      <c r="A117" s="322"/>
      <c r="B117" s="322"/>
      <c r="C117" s="322"/>
      <c r="D117" s="322"/>
      <c r="E117" s="322"/>
      <c r="F117" s="322"/>
      <c r="G117" s="322"/>
      <c r="H117" s="322"/>
      <c r="I117" s="322"/>
      <c r="J117" s="322"/>
      <c r="K117" s="322"/>
      <c r="L117" s="322"/>
    </row>
    <row r="118" spans="1:23" hidden="1" outlineLevel="1" x14ac:dyDescent="0.15">
      <c r="A118" s="334" t="s">
        <v>229</v>
      </c>
      <c r="B118" s="334"/>
      <c r="C118" s="342">
        <f>C114+C116</f>
        <v>-90000</v>
      </c>
      <c r="D118" s="342">
        <f t="shared" ref="D118:L118" si="26">D114+D116</f>
        <v>1993950</v>
      </c>
      <c r="E118" s="342">
        <f t="shared" si="26"/>
        <v>4531387.5</v>
      </c>
      <c r="F118" s="342">
        <f t="shared" si="26"/>
        <v>5256037.5</v>
      </c>
      <c r="G118" s="342">
        <f t="shared" si="26"/>
        <v>5980687.5</v>
      </c>
      <c r="H118" s="342">
        <f t="shared" si="26"/>
        <v>3082087.5</v>
      </c>
      <c r="I118" s="342">
        <f t="shared" si="26"/>
        <v>-360000</v>
      </c>
      <c r="J118" s="342">
        <f t="shared" si="26"/>
        <v>-360000</v>
      </c>
      <c r="K118" s="342">
        <f t="shared" si="26"/>
        <v>-360000</v>
      </c>
      <c r="L118" s="342">
        <f t="shared" si="26"/>
        <v>-360000</v>
      </c>
    </row>
    <row r="119" spans="1:23" hidden="1" outlineLevel="1" x14ac:dyDescent="0.15">
      <c r="A119" s="322"/>
      <c r="B119" s="322"/>
      <c r="C119" s="322"/>
      <c r="D119" s="322"/>
      <c r="E119" s="322"/>
      <c r="F119" s="322"/>
      <c r="G119" s="322"/>
      <c r="H119" s="322"/>
      <c r="I119" s="322"/>
      <c r="J119" s="322"/>
      <c r="K119" s="322"/>
      <c r="L119" s="322"/>
    </row>
    <row r="120" spans="1:23" hidden="1" outlineLevel="1" x14ac:dyDescent="0.15">
      <c r="A120" s="322" t="s">
        <v>231</v>
      </c>
      <c r="B120" s="358">
        <v>0.35</v>
      </c>
      <c r="C120" s="353">
        <v>227407.58790894874</v>
      </c>
      <c r="D120" s="353">
        <v>180945.72878488639</v>
      </c>
      <c r="E120" s="353">
        <v>158337.84098939429</v>
      </c>
      <c r="F120" s="353">
        <v>123523.13211149522</v>
      </c>
      <c r="G120" s="353">
        <v>-3856676.2962845406</v>
      </c>
      <c r="H120" s="353">
        <v>0</v>
      </c>
      <c r="I120" s="353">
        <v>0</v>
      </c>
      <c r="J120" s="353">
        <v>0</v>
      </c>
      <c r="K120" s="353">
        <v>0</v>
      </c>
      <c r="L120" s="353">
        <v>0</v>
      </c>
    </row>
    <row r="121" spans="1:23" hidden="1" outlineLevel="1" x14ac:dyDescent="0.15">
      <c r="A121" s="322"/>
      <c r="B121" s="322"/>
      <c r="C121" s="322"/>
      <c r="D121" s="322"/>
      <c r="E121" s="322"/>
      <c r="F121" s="322"/>
      <c r="G121" s="322"/>
      <c r="H121" s="322"/>
      <c r="I121" s="322"/>
      <c r="J121" s="322"/>
      <c r="K121" s="322"/>
      <c r="L121" s="322"/>
    </row>
    <row r="122" spans="1:23" hidden="1" outlineLevel="1" x14ac:dyDescent="0.15">
      <c r="A122" s="356" t="s">
        <v>258</v>
      </c>
      <c r="B122" s="356"/>
      <c r="C122" s="359">
        <v>3423007.3143512597</v>
      </c>
      <c r="D122" s="359">
        <v>4578115.9602631656</v>
      </c>
      <c r="E122" s="359">
        <v>2505832.2026019385</v>
      </c>
      <c r="F122" s="359">
        <v>73625.347333582904</v>
      </c>
      <c r="G122" s="359">
        <v>-4700008.5267831441</v>
      </c>
      <c r="H122" s="359">
        <v>0</v>
      </c>
      <c r="I122" s="359">
        <v>0</v>
      </c>
      <c r="J122" s="359">
        <v>0</v>
      </c>
      <c r="K122" s="359">
        <v>0</v>
      </c>
      <c r="L122" s="359">
        <v>0</v>
      </c>
    </row>
    <row r="123" spans="1:23" ht="7" customHeight="1" collapsed="1" x14ac:dyDescent="0.15"/>
    <row r="124" spans="1:23" x14ac:dyDescent="0.15">
      <c r="A124" s="351" t="s">
        <v>267</v>
      </c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</row>
    <row r="125" spans="1:23" x14ac:dyDescent="0.15">
      <c r="W125">
        <f>'B Case Gral'!AA240+'B Case Gral'!AB145</f>
        <v>-180000</v>
      </c>
    </row>
    <row r="126" spans="1:23" x14ac:dyDescent="0.15">
      <c r="A126" s="322" t="s">
        <v>263</v>
      </c>
      <c r="C126" s="353">
        <f>SUM(C127:C129)</f>
        <v>-280000</v>
      </c>
      <c r="D126" s="353">
        <f t="shared" ref="D126:L126" si="27">SUM(D127:D129)</f>
        <v>-610000</v>
      </c>
      <c r="E126" s="353">
        <f t="shared" si="27"/>
        <v>-510000</v>
      </c>
      <c r="F126" s="353">
        <f t="shared" si="27"/>
        <v>-360000</v>
      </c>
      <c r="G126" s="353">
        <f t="shared" si="27"/>
        <v>-360000</v>
      </c>
      <c r="H126" s="353">
        <f t="shared" si="27"/>
        <v>-360000</v>
      </c>
      <c r="I126" s="353">
        <f t="shared" si="27"/>
        <v>-360000</v>
      </c>
      <c r="J126" s="353">
        <f t="shared" si="27"/>
        <v>-360000</v>
      </c>
      <c r="K126" s="353">
        <f t="shared" si="27"/>
        <v>-360000</v>
      </c>
      <c r="L126" s="353">
        <f t="shared" si="27"/>
        <v>-360000</v>
      </c>
      <c r="W126">
        <f>SUM('B Case Gral'!AA238:AA239,'B Case Gral'!AB142:AB143)</f>
        <v>-120000</v>
      </c>
    </row>
    <row r="127" spans="1:23" outlineLevel="1" x14ac:dyDescent="0.15">
      <c r="A127" s="354" t="s">
        <v>210</v>
      </c>
      <c r="B127" s="322"/>
      <c r="C127" s="355">
        <f>'B Case Gral'!G239+'B Case Gral'!H239</f>
        <v>-120000</v>
      </c>
      <c r="D127" s="355">
        <f>'B Case Gral'!I239+'B Case Gral'!J239</f>
        <v>-240000</v>
      </c>
      <c r="E127" s="355">
        <f>'B Case Gral'!K239+'B Case Gral'!L239</f>
        <v>-240000</v>
      </c>
      <c r="F127" s="355">
        <f>'B Case Gral'!M239+'B Case Gral'!N239</f>
        <v>-240000</v>
      </c>
      <c r="G127" s="355">
        <f>'B Case Gral'!O239+'B Case Gral'!P239</f>
        <v>-240000</v>
      </c>
      <c r="H127" s="355">
        <f>'B Case Gral'!Q239+'B Case Gral'!R239</f>
        <v>-240000</v>
      </c>
      <c r="I127" s="355">
        <f>'B Case Gral'!S239+'B Case Gral'!T239</f>
        <v>-240000</v>
      </c>
      <c r="J127" s="355">
        <f>'B Case Gral'!U239+'B Case Gral'!V239</f>
        <v>-240000</v>
      </c>
      <c r="K127" s="355">
        <f>'B Case Gral'!W239+'B Case Gral'!X239</f>
        <v>-240000</v>
      </c>
      <c r="L127" s="355">
        <f>'B Case Gral'!Y239+'B Case Gral'!Z239</f>
        <v>-240000</v>
      </c>
      <c r="W127">
        <f>'B Case Gral'!AA239+'B Case Gral'!AB143</f>
        <v>-120000</v>
      </c>
    </row>
    <row r="128" spans="1:23" outlineLevel="1" x14ac:dyDescent="0.15">
      <c r="A128" s="354" t="s">
        <v>264</v>
      </c>
      <c r="B128" s="322"/>
      <c r="C128" s="355">
        <f>'B Case Gral'!G238+'B Case Gral'!H238</f>
        <v>-100000</v>
      </c>
      <c r="D128" s="355">
        <f>'B Case Gral'!I238+'B Case Gral'!J238</f>
        <v>-250000</v>
      </c>
      <c r="E128" s="355">
        <f>'B Case Gral'!K238+'B Case Gral'!L238</f>
        <v>-150000</v>
      </c>
      <c r="F128" s="355">
        <f>'B Case Gral'!O238+'B Case Gral'!P238</f>
        <v>0</v>
      </c>
      <c r="G128" s="355">
        <f>'B Case Gral'!Q238+'B Case Gral'!R238</f>
        <v>0</v>
      </c>
      <c r="H128" s="355">
        <f>'B Case Gral'!S238+'B Case Gral'!T238</f>
        <v>0</v>
      </c>
      <c r="I128" s="355">
        <f>'B Case Gral'!M238+'B Case Gral'!N238</f>
        <v>0</v>
      </c>
      <c r="J128" s="355">
        <f>'B Case Gral'!U238+'B Case Gral'!V238</f>
        <v>0</v>
      </c>
      <c r="K128" s="355">
        <f>'B Case Gral'!W238+'B Case Gral'!X238</f>
        <v>0</v>
      </c>
      <c r="L128" s="355">
        <f>'B Case Gral'!Y238+'B Case Gral'!Z238</f>
        <v>0</v>
      </c>
      <c r="N128" s="355"/>
      <c r="P128" s="355"/>
      <c r="R128" s="355"/>
      <c r="T128" s="355"/>
      <c r="V128" s="355"/>
      <c r="W128" s="355">
        <f>'B Case Gral'!AA238+'B Case Gral'!AB142</f>
        <v>0</v>
      </c>
    </row>
    <row r="129" spans="1:23" outlineLevel="1" x14ac:dyDescent="0.15">
      <c r="A129" s="354" t="s">
        <v>266</v>
      </c>
      <c r="B129" s="322"/>
      <c r="C129" s="355">
        <f>'B Case Gral'!G241+'B Case Gral'!H241</f>
        <v>-60000</v>
      </c>
      <c r="D129" s="355">
        <f>'B Case Gral'!I241+'B Case Gral'!J241</f>
        <v>-120000</v>
      </c>
      <c r="E129" s="355">
        <f>'B Case Gral'!K241+'B Case Gral'!L241</f>
        <v>-120000</v>
      </c>
      <c r="F129" s="355">
        <f>'B Case Gral'!M241+'B Case Gral'!N241</f>
        <v>-120000</v>
      </c>
      <c r="G129" s="355">
        <f>'B Case Gral'!O241+'B Case Gral'!P241</f>
        <v>-120000</v>
      </c>
      <c r="H129" s="355">
        <f>'B Case Gral'!Q241+'B Case Gral'!R241</f>
        <v>-120000</v>
      </c>
      <c r="I129" s="355">
        <f>'B Case Gral'!S241+'B Case Gral'!T241</f>
        <v>-120000</v>
      </c>
      <c r="J129" s="355">
        <f>'B Case Gral'!U241+'B Case Gral'!V241</f>
        <v>-120000</v>
      </c>
      <c r="K129" s="355">
        <f>'B Case Gral'!W241+'B Case Gral'!X241</f>
        <v>-120000</v>
      </c>
      <c r="L129" s="355">
        <f>'B Case Gral'!Y241+'B Case Gral'!Z241</f>
        <v>-120000</v>
      </c>
      <c r="N129" s="355"/>
      <c r="P129" s="355"/>
      <c r="R129" s="355"/>
      <c r="T129" s="355"/>
      <c r="V129" s="355"/>
      <c r="W129" s="355">
        <f>'B Case Gral'!AA241+'B Case Gral'!AB147</f>
        <v>-60000</v>
      </c>
    </row>
    <row r="131" spans="1:23" x14ac:dyDescent="0.15">
      <c r="A131" s="356" t="s">
        <v>268</v>
      </c>
      <c r="B131" s="356"/>
      <c r="C131" s="357">
        <f t="shared" ref="C131:H131" si="28">C49+C82+C110+C126</f>
        <v>-1185415.837408137</v>
      </c>
      <c r="D131" s="357">
        <f t="shared" si="28"/>
        <v>809079.67851959262</v>
      </c>
      <c r="E131" s="357">
        <f t="shared" si="28"/>
        <v>4534309.8338525798</v>
      </c>
      <c r="F131" s="357">
        <f t="shared" si="28"/>
        <v>11774123.843443546</v>
      </c>
      <c r="G131" s="357">
        <f t="shared" si="28"/>
        <v>13136302.92507137</v>
      </c>
      <c r="H131" s="357">
        <f t="shared" si="28"/>
        <v>4221120.1931999996</v>
      </c>
      <c r="I131" s="357">
        <f t="shared" ref="I131:L131" si="29">I49+I82+I110+I126</f>
        <v>819303.21419999981</v>
      </c>
      <c r="J131" s="357">
        <f t="shared" si="29"/>
        <v>876792.84480000008</v>
      </c>
      <c r="K131" s="357">
        <f t="shared" si="29"/>
        <v>1212668.0753999997</v>
      </c>
      <c r="L131" s="357">
        <f t="shared" si="29"/>
        <v>1257186.5963999995</v>
      </c>
    </row>
    <row r="132" spans="1:23" ht="7" customHeight="1" x14ac:dyDescent="0.15"/>
    <row r="133" spans="1:23" x14ac:dyDescent="0.15">
      <c r="A133" s="322" t="s">
        <v>269</v>
      </c>
      <c r="C133" s="332">
        <f t="shared" ref="C133:L133" si="30">C51+C84+C112</f>
        <v>-53866.294106724723</v>
      </c>
      <c r="D133" s="332">
        <f t="shared" si="30"/>
        <v>-202742.39625767418</v>
      </c>
      <c r="E133" s="332">
        <f t="shared" si="30"/>
        <v>-194315.3730961236</v>
      </c>
      <c r="F133" s="332">
        <f t="shared" si="30"/>
        <v>-244839.14393457305</v>
      </c>
      <c r="G133" s="332">
        <f t="shared" si="30"/>
        <v>-235960.15860379778</v>
      </c>
      <c r="H133" s="332">
        <f t="shared" si="30"/>
        <v>-235960.15860379778</v>
      </c>
      <c r="I133" s="332">
        <f t="shared" si="30"/>
        <v>-235960.15860379778</v>
      </c>
      <c r="J133" s="332">
        <f t="shared" si="30"/>
        <v>-235960.15860379778</v>
      </c>
      <c r="K133" s="332">
        <f t="shared" si="30"/>
        <v>-235960.15860379778</v>
      </c>
      <c r="L133" s="332">
        <f t="shared" si="30"/>
        <v>-235960.15860379778</v>
      </c>
    </row>
    <row r="134" spans="1:23" ht="7" customHeight="1" x14ac:dyDescent="0.15"/>
    <row r="135" spans="1:23" x14ac:dyDescent="0.15">
      <c r="A135" s="334" t="s">
        <v>270</v>
      </c>
      <c r="B135" s="334"/>
      <c r="C135" s="342">
        <f>C131+C133</f>
        <v>-1239282.1315148617</v>
      </c>
      <c r="D135" s="342">
        <f t="shared" ref="D135:L135" si="31">D131+D133</f>
        <v>606337.28226191842</v>
      </c>
      <c r="E135" s="342">
        <f t="shared" si="31"/>
        <v>4339994.4607564565</v>
      </c>
      <c r="F135" s="342">
        <f t="shared" si="31"/>
        <v>11529284.699508972</v>
      </c>
      <c r="G135" s="342">
        <f t="shared" si="31"/>
        <v>12900342.766467571</v>
      </c>
      <c r="H135" s="342">
        <f t="shared" si="31"/>
        <v>3985160.034596202</v>
      </c>
      <c r="I135" s="342">
        <f t="shared" si="31"/>
        <v>583343.05559620203</v>
      </c>
      <c r="J135" s="342">
        <f t="shared" si="31"/>
        <v>640832.6861962023</v>
      </c>
      <c r="K135" s="342">
        <f t="shared" si="31"/>
        <v>976707.91679620196</v>
      </c>
      <c r="L135" s="342">
        <f t="shared" si="31"/>
        <v>1021226.4377962017</v>
      </c>
    </row>
    <row r="136" spans="1:23" ht="7" customHeight="1" x14ac:dyDescent="0.15"/>
    <row r="137" spans="1:23" x14ac:dyDescent="0.15">
      <c r="A137" s="322" t="s">
        <v>228</v>
      </c>
      <c r="C137" s="332">
        <v>0</v>
      </c>
      <c r="D137" s="332">
        <v>0</v>
      </c>
      <c r="E137" s="332">
        <v>0</v>
      </c>
      <c r="F137" s="332">
        <v>0</v>
      </c>
      <c r="G137" s="332">
        <v>0</v>
      </c>
      <c r="H137" s="332">
        <v>0</v>
      </c>
      <c r="I137" s="332">
        <v>0</v>
      </c>
      <c r="J137" s="332">
        <v>0</v>
      </c>
      <c r="K137" s="332">
        <v>0</v>
      </c>
      <c r="L137" s="332">
        <v>0</v>
      </c>
    </row>
    <row r="138" spans="1:23" ht="7" customHeight="1" x14ac:dyDescent="0.15"/>
    <row r="139" spans="1:23" x14ac:dyDescent="0.15">
      <c r="A139" s="334" t="s">
        <v>271</v>
      </c>
      <c r="B139" s="334"/>
      <c r="C139" s="342">
        <f>C135+C137</f>
        <v>-1239282.1315148617</v>
      </c>
      <c r="D139" s="342">
        <f t="shared" ref="D139:L139" si="32">D135+D137</f>
        <v>606337.28226191842</v>
      </c>
      <c r="E139" s="342">
        <f t="shared" si="32"/>
        <v>4339994.4607564565</v>
      </c>
      <c r="F139" s="342">
        <f t="shared" si="32"/>
        <v>11529284.699508972</v>
      </c>
      <c r="G139" s="342">
        <f t="shared" si="32"/>
        <v>12900342.766467571</v>
      </c>
      <c r="H139" s="342">
        <f t="shared" si="32"/>
        <v>3985160.034596202</v>
      </c>
      <c r="I139" s="342">
        <f t="shared" si="32"/>
        <v>583343.05559620203</v>
      </c>
      <c r="J139" s="342">
        <f t="shared" si="32"/>
        <v>640832.6861962023</v>
      </c>
      <c r="K139" s="342">
        <f t="shared" si="32"/>
        <v>976707.91679620196</v>
      </c>
      <c r="L139" s="342">
        <f t="shared" si="32"/>
        <v>1021226.4377962017</v>
      </c>
    </row>
    <row r="140" spans="1:23" ht="7" customHeight="1" x14ac:dyDescent="0.15"/>
    <row r="141" spans="1:23" x14ac:dyDescent="0.15">
      <c r="A141" s="322" t="s">
        <v>272</v>
      </c>
      <c r="B141" s="331">
        <v>0.35</v>
      </c>
      <c r="C141" s="353">
        <f>C139*-$B$141</f>
        <v>433748.74603020155</v>
      </c>
      <c r="D141" s="353">
        <f t="shared" ref="D141:L141" si="33">D139*-$B$141</f>
        <v>-212218.04879167143</v>
      </c>
      <c r="E141" s="353">
        <f t="shared" si="33"/>
        <v>-1518998.0612647596</v>
      </c>
      <c r="F141" s="353">
        <f t="shared" si="33"/>
        <v>-4035249.6448281403</v>
      </c>
      <c r="G141" s="353">
        <f t="shared" si="33"/>
        <v>-4515119.9682636494</v>
      </c>
      <c r="H141" s="353">
        <f t="shared" si="33"/>
        <v>-1394806.0121086705</v>
      </c>
      <c r="I141" s="353">
        <f t="shared" si="33"/>
        <v>-204170.06945867071</v>
      </c>
      <c r="J141" s="353">
        <f t="shared" si="33"/>
        <v>-224291.44016867079</v>
      </c>
      <c r="K141" s="353">
        <f t="shared" si="33"/>
        <v>-341847.77087867068</v>
      </c>
      <c r="L141" s="353">
        <f t="shared" si="33"/>
        <v>-357429.25322867057</v>
      </c>
    </row>
    <row r="142" spans="1:23" ht="7" customHeight="1" x14ac:dyDescent="0.15"/>
    <row r="143" spans="1:23" x14ac:dyDescent="0.15">
      <c r="A143" s="356" t="s">
        <v>273</v>
      </c>
      <c r="B143" s="356"/>
      <c r="C143" s="359">
        <f>C139+C141</f>
        <v>-805533.38548466016</v>
      </c>
      <c r="D143" s="359">
        <f t="shared" ref="D143:L143" si="34">D139+D141</f>
        <v>394119.23347024701</v>
      </c>
      <c r="E143" s="359">
        <f t="shared" si="34"/>
        <v>2820996.3994916966</v>
      </c>
      <c r="F143" s="359">
        <f t="shared" si="34"/>
        <v>7494035.0546808317</v>
      </c>
      <c r="G143" s="359">
        <f t="shared" si="34"/>
        <v>8385222.7982039219</v>
      </c>
      <c r="H143" s="359">
        <f t="shared" si="34"/>
        <v>2590354.0224875314</v>
      </c>
      <c r="I143" s="359">
        <f t="shared" si="34"/>
        <v>379172.98613753135</v>
      </c>
      <c r="J143" s="359">
        <f t="shared" si="34"/>
        <v>416541.24602753151</v>
      </c>
      <c r="K143" s="359">
        <f t="shared" si="34"/>
        <v>634860.14591753134</v>
      </c>
      <c r="L143" s="359">
        <f t="shared" si="34"/>
        <v>663797.18456753111</v>
      </c>
    </row>
  </sheetData>
  <phoneticPr fontId="43" type="noConversion"/>
  <pageMargins left="0.25" right="0.25" top="0.75" bottom="0.75" header="0.3" footer="0.3"/>
  <pageSetup paperSize="9" scale="48"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71A53-80A5-4545-8A4E-66779FEFB3FB}">
  <dimension ref="A1:Z174"/>
  <sheetViews>
    <sheetView showGridLines="0"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U54" sqref="U54"/>
    </sheetView>
  </sheetViews>
  <sheetFormatPr baseColWidth="10" defaultRowHeight="13" x14ac:dyDescent="0.15"/>
  <cols>
    <col min="1" max="1" width="32.83203125" bestFit="1" customWidth="1"/>
    <col min="2" max="2" width="5.1640625" bestFit="1" customWidth="1"/>
    <col min="3" max="3" width="7.1640625" bestFit="1" customWidth="1"/>
    <col min="4" max="5" width="15.1640625" bestFit="1" customWidth="1"/>
    <col min="6" max="7" width="15.6640625" bestFit="1" customWidth="1"/>
    <col min="8" max="8" width="15.1640625" customWidth="1"/>
    <col min="9" max="14" width="15.1640625" bestFit="1" customWidth="1"/>
  </cols>
  <sheetData>
    <row r="1" spans="1:26" ht="25" customHeight="1" x14ac:dyDescent="0.15">
      <c r="A1" s="345" t="s">
        <v>274</v>
      </c>
      <c r="B1" s="346"/>
      <c r="C1" s="346"/>
      <c r="D1" s="346" t="s">
        <v>276</v>
      </c>
      <c r="E1" s="346" t="s">
        <v>233</v>
      </c>
      <c r="F1" s="346" t="s">
        <v>234</v>
      </c>
      <c r="G1" s="346" t="s">
        <v>235</v>
      </c>
      <c r="H1" s="346" t="s">
        <v>236</v>
      </c>
      <c r="I1" s="346" t="s">
        <v>237</v>
      </c>
      <c r="J1" s="346" t="s">
        <v>238</v>
      </c>
      <c r="K1" s="346" t="s">
        <v>239</v>
      </c>
      <c r="L1" s="346" t="s">
        <v>240</v>
      </c>
      <c r="M1" s="346" t="s">
        <v>241</v>
      </c>
      <c r="N1" s="346" t="s">
        <v>242</v>
      </c>
    </row>
    <row r="3" spans="1:26" x14ac:dyDescent="0.15">
      <c r="A3" s="337" t="s">
        <v>196</v>
      </c>
      <c r="B3" s="338"/>
      <c r="C3" s="338"/>
      <c r="D3" s="338"/>
      <c r="E3" s="338"/>
      <c r="F3" s="338"/>
      <c r="G3" s="338"/>
      <c r="H3" s="338"/>
      <c r="I3" s="338"/>
      <c r="J3" s="338"/>
      <c r="K3" s="338"/>
      <c r="L3" s="338"/>
      <c r="M3" s="338"/>
      <c r="N3" s="338"/>
    </row>
    <row r="5" spans="1:26" x14ac:dyDescent="0.15">
      <c r="A5" s="339" t="s">
        <v>277</v>
      </c>
      <c r="B5" s="339"/>
      <c r="C5" s="339"/>
      <c r="D5" s="339"/>
      <c r="E5" s="339"/>
      <c r="F5" s="339"/>
      <c r="G5" s="339"/>
      <c r="H5" s="339"/>
      <c r="I5" s="339"/>
      <c r="J5" s="339"/>
      <c r="K5" s="339"/>
      <c r="L5" s="339"/>
      <c r="M5" s="339"/>
      <c r="N5" s="339"/>
    </row>
    <row r="6" spans="1:26" ht="7" customHeight="1" x14ac:dyDescent="0.15">
      <c r="E6" s="330"/>
      <c r="F6" s="330"/>
      <c r="G6" s="330"/>
      <c r="H6" s="330"/>
      <c r="I6" s="330"/>
      <c r="J6" s="330"/>
      <c r="K6" s="330"/>
      <c r="L6" s="330"/>
      <c r="M6" s="330"/>
      <c r="N6" s="330"/>
    </row>
    <row r="7" spans="1:26" x14ac:dyDescent="0.15">
      <c r="A7" t="s">
        <v>262</v>
      </c>
      <c r="D7" s="330">
        <f ca="1">SUM(D8:D10)</f>
        <v>10300800</v>
      </c>
      <c r="E7" s="330">
        <f t="shared" ref="E7:N7" ca="1" si="0">SUM(E8:E10)</f>
        <v>9576150</v>
      </c>
      <c r="F7" s="330">
        <f t="shared" ca="1" si="0"/>
        <v>8126850</v>
      </c>
      <c r="G7" s="330">
        <f t="shared" ca="1" si="0"/>
        <v>6677550</v>
      </c>
      <c r="H7" s="330">
        <f t="shared" ca="1" si="0"/>
        <v>4262050</v>
      </c>
      <c r="I7" s="330">
        <f t="shared" ca="1" si="0"/>
        <v>2571200</v>
      </c>
      <c r="J7" s="330">
        <f t="shared" ca="1" si="0"/>
        <v>2571200</v>
      </c>
      <c r="K7" s="330">
        <f t="shared" ca="1" si="0"/>
        <v>2571200</v>
      </c>
      <c r="L7" s="330">
        <f t="shared" ca="1" si="0"/>
        <v>2571200</v>
      </c>
      <c r="M7" s="330">
        <f t="shared" ca="1" si="0"/>
        <v>2571200</v>
      </c>
      <c r="N7" s="330">
        <f t="shared" ca="1" si="0"/>
        <v>2571200</v>
      </c>
    </row>
    <row r="8" spans="1:26" x14ac:dyDescent="0.15">
      <c r="A8" s="344" t="s">
        <v>283</v>
      </c>
      <c r="D8" s="349">
        <f ca="1">D7*'B Case Gral'!F261</f>
        <v>2571200</v>
      </c>
      <c r="E8" s="349">
        <f ca="1">D8</f>
        <v>2571200</v>
      </c>
      <c r="F8" s="349">
        <f t="shared" ref="F8:N8" ca="1" si="1">E8</f>
        <v>2571200</v>
      </c>
      <c r="G8" s="349">
        <f t="shared" ca="1" si="1"/>
        <v>2571200</v>
      </c>
      <c r="H8" s="349">
        <f t="shared" ca="1" si="1"/>
        <v>2571200</v>
      </c>
      <c r="I8" s="349">
        <f t="shared" ca="1" si="1"/>
        <v>2571200</v>
      </c>
      <c r="J8" s="349">
        <f t="shared" ca="1" si="1"/>
        <v>2571200</v>
      </c>
      <c r="K8" s="349">
        <f t="shared" ca="1" si="1"/>
        <v>2571200</v>
      </c>
      <c r="L8" s="349">
        <f t="shared" ca="1" si="1"/>
        <v>2571200</v>
      </c>
      <c r="M8" s="349">
        <f t="shared" ca="1" si="1"/>
        <v>2571200</v>
      </c>
      <c r="N8" s="349">
        <f t="shared" ca="1" si="1"/>
        <v>2571200</v>
      </c>
      <c r="P8" s="349"/>
      <c r="R8" s="349"/>
      <c r="T8" s="349"/>
      <c r="V8" s="349"/>
      <c r="X8" s="349"/>
      <c r="Y8" s="349"/>
    </row>
    <row r="9" spans="1:26" x14ac:dyDescent="0.15">
      <c r="A9" s="344" t="s">
        <v>279</v>
      </c>
      <c r="D9" s="349">
        <f ca="1">D7*'B Case Gral'!F274</f>
        <v>1932399.9999999998</v>
      </c>
      <c r="E9" s="349">
        <f ca="1">D9</f>
        <v>1932399.9999999998</v>
      </c>
      <c r="F9" s="349">
        <f t="shared" ref="F9:N9" ca="1" si="2">E9</f>
        <v>1932399.9999999998</v>
      </c>
      <c r="G9" s="349">
        <f t="shared" ca="1" si="2"/>
        <v>1932399.9999999998</v>
      </c>
      <c r="H9" s="349">
        <f ca="1">G9/2</f>
        <v>966199.99999999988</v>
      </c>
      <c r="I9" s="349">
        <v>0</v>
      </c>
      <c r="J9" s="349">
        <f t="shared" si="2"/>
        <v>0</v>
      </c>
      <c r="K9" s="349">
        <f t="shared" si="2"/>
        <v>0</v>
      </c>
      <c r="L9" s="349">
        <f t="shared" si="2"/>
        <v>0</v>
      </c>
      <c r="M9" s="349">
        <f t="shared" si="2"/>
        <v>0</v>
      </c>
      <c r="N9" s="349">
        <f t="shared" si="2"/>
        <v>0</v>
      </c>
      <c r="P9" s="349"/>
      <c r="R9" s="349"/>
      <c r="T9" s="349"/>
      <c r="V9" s="349"/>
      <c r="X9" s="349"/>
      <c r="Y9" s="349"/>
    </row>
    <row r="10" spans="1:26" x14ac:dyDescent="0.15">
      <c r="A10" s="344" t="s">
        <v>280</v>
      </c>
      <c r="D10" s="349">
        <f ca="1">D7*'B Case Gral'!F287</f>
        <v>5797200</v>
      </c>
      <c r="E10" s="349">
        <f ca="1">D10+EERR!D103</f>
        <v>5072550</v>
      </c>
      <c r="F10" s="349">
        <f ca="1">E10+EERR!E103</f>
        <v>3623250</v>
      </c>
      <c r="G10" s="349">
        <f ca="1">F10+EERR!F103</f>
        <v>2173950</v>
      </c>
      <c r="H10" s="349">
        <f ca="1">G10+EERR!G103</f>
        <v>724650</v>
      </c>
      <c r="I10" s="349">
        <f ca="1">H10+EERR!H103</f>
        <v>0</v>
      </c>
      <c r="J10" s="349">
        <f ca="1">I10+EERR!I103</f>
        <v>0</v>
      </c>
      <c r="K10" s="349">
        <f ca="1">J10+EERR!J103</f>
        <v>0</v>
      </c>
      <c r="L10" s="349">
        <f ca="1">K10+EERR!K103</f>
        <v>0</v>
      </c>
      <c r="M10" s="349">
        <f ca="1">L10+EERR!L103</f>
        <v>0</v>
      </c>
      <c r="N10" s="349">
        <f ca="1">M10+EERR!M103</f>
        <v>0</v>
      </c>
      <c r="P10" s="349"/>
      <c r="R10" s="349"/>
      <c r="T10" s="349"/>
      <c r="V10" s="349"/>
      <c r="X10" s="349"/>
      <c r="Y10" s="349"/>
    </row>
    <row r="11" spans="1:26" x14ac:dyDescent="0.15">
      <c r="D11" s="330"/>
      <c r="E11" s="330"/>
      <c r="F11" s="330"/>
      <c r="G11" s="330"/>
      <c r="H11" s="330"/>
      <c r="I11" s="330"/>
      <c r="J11" s="330"/>
      <c r="K11" s="330"/>
      <c r="L11" s="330"/>
      <c r="M11" s="330"/>
      <c r="N11" s="330"/>
    </row>
    <row r="12" spans="1:26" ht="7" customHeight="1" x14ac:dyDescent="0.15">
      <c r="D12" s="330"/>
      <c r="E12" s="330"/>
      <c r="F12" s="330"/>
      <c r="G12" s="330"/>
      <c r="H12" s="330"/>
      <c r="I12" s="330"/>
      <c r="J12" s="330"/>
      <c r="K12" s="330"/>
      <c r="L12" s="330"/>
      <c r="M12" s="330"/>
      <c r="N12" s="330"/>
    </row>
    <row r="13" spans="1:26" x14ac:dyDescent="0.15">
      <c r="A13" t="s">
        <v>281</v>
      </c>
      <c r="D13" s="330">
        <f>SUM(D14:D17)</f>
        <v>0</v>
      </c>
      <c r="E13" s="330">
        <f>SUM(E14:E17)</f>
        <v>2154651.7642689887</v>
      </c>
      <c r="F13" s="330">
        <f t="shared" ref="F13:N13" si="3">SUM(F14:F17)</f>
        <v>8109695.8503069663</v>
      </c>
      <c r="G13" s="330">
        <f t="shared" si="3"/>
        <v>7772614.9238449438</v>
      </c>
      <c r="H13" s="330">
        <f t="shared" si="3"/>
        <v>9793565.7573829219</v>
      </c>
      <c r="I13" s="330">
        <f t="shared" si="3"/>
        <v>9438406.3441519104</v>
      </c>
      <c r="J13" s="330">
        <f t="shared" si="3"/>
        <v>9438406.3441519104</v>
      </c>
      <c r="K13" s="330">
        <f t="shared" si="3"/>
        <v>9438406.3441519104</v>
      </c>
      <c r="L13" s="330">
        <f t="shared" si="3"/>
        <v>9438406.3441519104</v>
      </c>
      <c r="M13" s="330">
        <f t="shared" si="3"/>
        <v>9438406.3441519104</v>
      </c>
      <c r="N13" s="330">
        <f t="shared" si="3"/>
        <v>9438406.3441519104</v>
      </c>
    </row>
    <row r="14" spans="1:26" x14ac:dyDescent="0.15">
      <c r="A14" s="344" t="s">
        <v>219</v>
      </c>
      <c r="D14" s="349"/>
      <c r="E14" s="349">
        <f>'B Case Gral'!I98*-1</f>
        <v>1719698.5</v>
      </c>
      <c r="F14" s="349">
        <f>'B Case Gral'!K98*-1</f>
        <v>3798266</v>
      </c>
      <c r="G14" s="349">
        <f>'B Case Gral'!M98*-1</f>
        <v>3798266</v>
      </c>
      <c r="H14" s="349">
        <f>'B Case Gral'!O98*-1</f>
        <v>6121450</v>
      </c>
      <c r="I14" s="349">
        <f>'B Case Gral'!Q98*-1</f>
        <v>6121450</v>
      </c>
      <c r="J14" s="349">
        <f>'B Case Gral'!S98*-1</f>
        <v>6121450</v>
      </c>
      <c r="K14" s="349">
        <f>'B Case Gral'!U98*-1</f>
        <v>6121450</v>
      </c>
      <c r="L14" s="349">
        <f>'B Case Gral'!W98*-1</f>
        <v>6121450</v>
      </c>
      <c r="M14" s="349">
        <f>'B Case Gral'!Y98*-1</f>
        <v>6121450</v>
      </c>
      <c r="N14" s="349">
        <f>'B Case Gral'!AA98*-1</f>
        <v>6121450</v>
      </c>
      <c r="P14" s="349"/>
      <c r="R14" s="349"/>
      <c r="T14" s="349"/>
      <c r="V14" s="349"/>
      <c r="X14" s="349"/>
      <c r="Y14" s="349">
        <f>('B Case Gral'!AB97+'B Case Gral'!AC97)*-1</f>
        <v>0</v>
      </c>
      <c r="Z14" s="349">
        <f>('B Case Gral'!AC97+'B Case Gral'!AD97)*-1</f>
        <v>0</v>
      </c>
    </row>
    <row r="15" spans="1:26" x14ac:dyDescent="0.15">
      <c r="A15" s="344" t="s">
        <v>279</v>
      </c>
      <c r="D15" s="349">
        <v>0</v>
      </c>
      <c r="E15" s="349"/>
      <c r="F15" s="349"/>
      <c r="G15" s="349"/>
      <c r="H15" s="349"/>
      <c r="I15" s="349"/>
      <c r="J15" s="349"/>
      <c r="K15" s="349"/>
      <c r="L15" s="349"/>
      <c r="M15" s="349"/>
      <c r="Q15">
        <v>-1</v>
      </c>
    </row>
    <row r="16" spans="1:26" x14ac:dyDescent="0.15">
      <c r="A16" s="344" t="s">
        <v>280</v>
      </c>
      <c r="D16" s="349">
        <f>'B Case Gral'!G154</f>
        <v>0</v>
      </c>
      <c r="E16" s="349">
        <f>'B Case Gral'!I154*-1+EERR!D104</f>
        <v>409157.78676898882</v>
      </c>
      <c r="F16" s="349">
        <f>E16-('B Case Gral'!J153+'B Case Gral'!K153)+EERR!E104</f>
        <v>4254455.8603069661</v>
      </c>
      <c r="G16" s="349">
        <f>F16-('B Case Gral'!L153+'B Case Gral'!M153)+EERR!F104</f>
        <v>3917374.9338449435</v>
      </c>
      <c r="H16" s="349">
        <f>G16-('B Case Gral'!N153+'B Case Gral'!O153)++EERR!G104</f>
        <v>3580294.0073829209</v>
      </c>
      <c r="I16" s="349">
        <f>H16-('B Case Gral'!P153+'B Case Gral'!Q153)++EERR!H104</f>
        <v>3084055.2941519096</v>
      </c>
      <c r="J16" s="349">
        <f>I16-('B Case Gral'!R153+'B Case Gral'!S153)++EERR!I104</f>
        <v>3084055.2941519096</v>
      </c>
      <c r="K16" s="349">
        <f>J16-('B Case Gral'!T153+'B Case Gral'!U153)++EERR!J104</f>
        <v>3084055.2941519096</v>
      </c>
      <c r="L16" s="349">
        <f>K16-('B Case Gral'!V153+'B Case Gral'!W153)++EERR!K104</f>
        <v>3084055.2941519096</v>
      </c>
      <c r="M16" s="349">
        <f>L16-('B Case Gral'!X153+'B Case Gral'!Y153)++EERR!L104</f>
        <v>3084055.2941519096</v>
      </c>
      <c r="N16" s="349">
        <f>M16-('B Case Gral'!Z153+'B Case Gral'!AA153)++EERR!M104</f>
        <v>3084055.2941519096</v>
      </c>
      <c r="O16" s="349"/>
      <c r="P16" s="349"/>
      <c r="Q16" s="349"/>
      <c r="R16" s="349"/>
      <c r="S16" s="349"/>
      <c r="T16" s="349"/>
      <c r="U16" s="349"/>
      <c r="V16" s="349"/>
      <c r="W16" s="349"/>
      <c r="X16" s="349"/>
      <c r="Y16" s="349">
        <f>('B Case Gral'!AB154+'B Case Gral'!AC154)*-1</f>
        <v>0</v>
      </c>
    </row>
    <row r="17" spans="1:25" x14ac:dyDescent="0.15">
      <c r="A17" s="344" t="s">
        <v>354</v>
      </c>
      <c r="D17" s="349">
        <f>('B Case Gral'!G218)*-1</f>
        <v>0</v>
      </c>
      <c r="E17" s="349">
        <f>('B Case Gral'!I213)*-1</f>
        <v>25795.477499999997</v>
      </c>
      <c r="F17" s="349">
        <f>('B Case Gral'!K213)*-1</f>
        <v>56973.99</v>
      </c>
      <c r="G17" s="349">
        <f>('B Case Gral'!M213)*-1</f>
        <v>56973.99</v>
      </c>
      <c r="H17" s="349">
        <f>('B Case Gral'!O213)*-1</f>
        <v>91821.75</v>
      </c>
      <c r="I17" s="349">
        <f>('B Case Gral'!Q213)*-1</f>
        <v>232901.05000000002</v>
      </c>
      <c r="J17" s="349">
        <f>('B Case Gral'!S213)*-1</f>
        <v>232901.05000000002</v>
      </c>
      <c r="K17" s="349">
        <f>('B Case Gral'!U213)*-1</f>
        <v>232901.05000000002</v>
      </c>
      <c r="L17" s="349">
        <f>('B Case Gral'!W213)*-1</f>
        <v>232901.05000000002</v>
      </c>
      <c r="M17" s="349">
        <f>('B Case Gral'!Y213)*-1</f>
        <v>232901.05000000002</v>
      </c>
      <c r="N17" s="349">
        <f>('B Case Gral'!AA213)*-1</f>
        <v>232901.05000000002</v>
      </c>
      <c r="P17" s="349"/>
      <c r="R17" s="349"/>
      <c r="T17" s="349"/>
      <c r="V17" s="349"/>
      <c r="X17" s="349"/>
      <c r="Y17" s="349"/>
    </row>
    <row r="19" spans="1:25" x14ac:dyDescent="0.15">
      <c r="A19" t="s">
        <v>197</v>
      </c>
      <c r="C19" s="538">
        <v>2.5000000000000001E-2</v>
      </c>
      <c r="D19" s="332">
        <f t="shared" ref="D19:N19" si="4">D13*-$C$19</f>
        <v>0</v>
      </c>
      <c r="E19" s="332">
        <f t="shared" si="4"/>
        <v>-53866.294106724723</v>
      </c>
      <c r="F19" s="332">
        <f t="shared" si="4"/>
        <v>-202742.39625767418</v>
      </c>
      <c r="G19" s="332">
        <f t="shared" si="4"/>
        <v>-194315.3730961236</v>
      </c>
      <c r="H19" s="332">
        <f t="shared" si="4"/>
        <v>-244839.14393457305</v>
      </c>
      <c r="I19" s="332">
        <f t="shared" si="4"/>
        <v>-235960.15860379778</v>
      </c>
      <c r="J19" s="332">
        <f t="shared" si="4"/>
        <v>-235960.15860379778</v>
      </c>
      <c r="K19" s="332">
        <f t="shared" si="4"/>
        <v>-235960.15860379778</v>
      </c>
      <c r="L19" s="332">
        <f t="shared" si="4"/>
        <v>-235960.15860379778</v>
      </c>
      <c r="M19" s="332">
        <f t="shared" si="4"/>
        <v>-235960.15860379778</v>
      </c>
      <c r="N19" s="332">
        <f t="shared" si="4"/>
        <v>-235960.15860379778</v>
      </c>
    </row>
    <row r="20" spans="1:25" x14ac:dyDescent="0.15">
      <c r="C20" s="330"/>
      <c r="D20" s="330"/>
      <c r="E20" s="332"/>
      <c r="F20" s="332"/>
      <c r="G20" s="332"/>
      <c r="H20" s="332"/>
      <c r="I20" s="332"/>
      <c r="J20" s="332"/>
      <c r="K20" s="332"/>
      <c r="L20" s="332"/>
      <c r="M20" s="332"/>
      <c r="N20" s="332"/>
    </row>
    <row r="21" spans="1:25" x14ac:dyDescent="0.15">
      <c r="A21" s="334" t="s">
        <v>282</v>
      </c>
      <c r="B21" s="334"/>
      <c r="C21" s="342"/>
      <c r="D21" s="342">
        <f ca="1">D7+D13+D19</f>
        <v>10300800</v>
      </c>
      <c r="E21" s="342">
        <f t="shared" ref="E21:N21" ca="1" si="5">E7+E13+E19</f>
        <v>11676935.470162263</v>
      </c>
      <c r="F21" s="342">
        <f t="shared" ca="1" si="5"/>
        <v>16033803.454049291</v>
      </c>
      <c r="G21" s="342">
        <f t="shared" ca="1" si="5"/>
        <v>14255849.550748821</v>
      </c>
      <c r="H21" s="342">
        <f t="shared" ca="1" si="5"/>
        <v>13810776.613448348</v>
      </c>
      <c r="I21" s="342">
        <f t="shared" ca="1" si="5"/>
        <v>11773646.185548112</v>
      </c>
      <c r="J21" s="342">
        <f t="shared" ca="1" si="5"/>
        <v>11773646.185548112</v>
      </c>
      <c r="K21" s="342">
        <f t="shared" ca="1" si="5"/>
        <v>11773646.185548112</v>
      </c>
      <c r="L21" s="342">
        <f t="shared" ca="1" si="5"/>
        <v>11773646.185548112</v>
      </c>
      <c r="M21" s="342">
        <f t="shared" ca="1" si="5"/>
        <v>11773646.185548112</v>
      </c>
      <c r="N21" s="342">
        <f t="shared" ca="1" si="5"/>
        <v>11773646.185548112</v>
      </c>
    </row>
    <row r="22" spans="1:25" x14ac:dyDescent="0.15">
      <c r="A22" s="322"/>
      <c r="C22" s="330"/>
      <c r="D22" s="330"/>
      <c r="F22" s="330"/>
      <c r="G22" s="330"/>
      <c r="H22" s="330"/>
      <c r="I22" s="330"/>
      <c r="J22" s="330"/>
      <c r="K22" s="330"/>
      <c r="L22" s="330"/>
      <c r="M22" s="330"/>
      <c r="N22" s="330"/>
    </row>
    <row r="23" spans="1:25" x14ac:dyDescent="0.15">
      <c r="A23" s="339" t="s">
        <v>278</v>
      </c>
      <c r="B23" s="339"/>
      <c r="C23" s="339"/>
      <c r="D23" s="339"/>
      <c r="E23" s="339"/>
      <c r="F23" s="339"/>
      <c r="G23" s="339"/>
      <c r="H23" s="339"/>
      <c r="I23" s="339"/>
      <c r="J23" s="339"/>
      <c r="K23" s="339"/>
      <c r="L23" s="339"/>
      <c r="M23" s="339"/>
      <c r="N23" s="339"/>
    </row>
    <row r="24" spans="1:25" x14ac:dyDescent="0.15">
      <c r="A24" s="322"/>
    </row>
    <row r="25" spans="1:25" x14ac:dyDescent="0.15">
      <c r="A25" s="322" t="s">
        <v>355</v>
      </c>
      <c r="C25" s="330"/>
      <c r="D25" s="332">
        <f>D26+D27</f>
        <v>798623.19486407936</v>
      </c>
      <c r="E25" s="332">
        <f t="shared" ref="E25:N25" si="6">E26+E27</f>
        <v>1220888.7132310113</v>
      </c>
      <c r="F25" s="332">
        <f t="shared" si="6"/>
        <v>12589617.818021355</v>
      </c>
      <c r="G25" s="332">
        <f t="shared" si="6"/>
        <v>9665595.9752215073</v>
      </c>
      <c r="H25" s="332">
        <f t="shared" si="6"/>
        <v>2441777.4264620226</v>
      </c>
      <c r="I25" s="332">
        <f t="shared" si="6"/>
        <v>1220888.7132310113</v>
      </c>
      <c r="J25" s="332">
        <f t="shared" si="6"/>
        <v>0</v>
      </c>
      <c r="K25" s="332">
        <f t="shared" si="6"/>
        <v>0</v>
      </c>
      <c r="L25" s="332">
        <f t="shared" si="6"/>
        <v>0</v>
      </c>
      <c r="M25" s="332">
        <f t="shared" si="6"/>
        <v>0</v>
      </c>
      <c r="N25" s="332">
        <f t="shared" si="6"/>
        <v>0</v>
      </c>
    </row>
    <row r="26" spans="1:25" x14ac:dyDescent="0.15">
      <c r="A26" s="344" t="s">
        <v>279</v>
      </c>
      <c r="D26" s="349">
        <f>'[9]EECC Resid'!$D$47</f>
        <v>798623.19486407936</v>
      </c>
      <c r="E26" s="349">
        <v>0</v>
      </c>
      <c r="F26" s="349">
        <f>'[9]EECC Resid'!$F$47</f>
        <v>10147840.391559333</v>
      </c>
      <c r="G26" s="349">
        <f>'[9]EECC Resid'!$G$47</f>
        <v>7223818.5487594847</v>
      </c>
      <c r="H26" s="349">
        <v>0</v>
      </c>
      <c r="I26" s="349">
        <v>0</v>
      </c>
      <c r="J26" s="349"/>
      <c r="K26" s="349"/>
      <c r="L26" s="349"/>
      <c r="M26" s="349"/>
      <c r="N26" s="349"/>
      <c r="P26" s="349"/>
      <c r="R26" s="349"/>
      <c r="T26" s="349"/>
      <c r="V26" s="349"/>
      <c r="X26" s="349"/>
      <c r="Y26" s="349"/>
    </row>
    <row r="27" spans="1:25" x14ac:dyDescent="0.15">
      <c r="A27" s="344" t="s">
        <v>280</v>
      </c>
      <c r="D27" s="349">
        <f>-EERR!C102</f>
        <v>0</v>
      </c>
      <c r="E27" s="349">
        <f>-EERR!D102</f>
        <v>1220888.7132310113</v>
      </c>
      <c r="F27" s="349">
        <f>-EERR!E102</f>
        <v>2441777.4264620226</v>
      </c>
      <c r="G27" s="349">
        <f>-EERR!F102</f>
        <v>2441777.4264620226</v>
      </c>
      <c r="H27" s="349">
        <f>-EERR!G102</f>
        <v>2441777.4264620226</v>
      </c>
      <c r="I27" s="349">
        <f>-EERR!H102</f>
        <v>1220888.7132310113</v>
      </c>
      <c r="J27" s="349">
        <f>-EERR!I102</f>
        <v>0</v>
      </c>
      <c r="K27" s="349">
        <f>-EERR!J102</f>
        <v>0</v>
      </c>
      <c r="L27" s="349">
        <f>-EERR!K102</f>
        <v>0</v>
      </c>
      <c r="M27" s="349">
        <f>-EERR!L102</f>
        <v>0</v>
      </c>
      <c r="N27" s="349">
        <f>-EERR!M102</f>
        <v>0</v>
      </c>
    </row>
    <row r="28" spans="1:25" x14ac:dyDescent="0.15">
      <c r="A28" s="344"/>
      <c r="D28" s="349"/>
      <c r="E28" s="349"/>
      <c r="F28" s="349"/>
      <c r="G28" s="349"/>
      <c r="H28" s="349"/>
      <c r="I28" s="349"/>
      <c r="J28" s="349"/>
      <c r="K28" s="349"/>
      <c r="L28" s="349"/>
      <c r="M28" s="349"/>
      <c r="N28" s="349"/>
    </row>
    <row r="29" spans="1:25" x14ac:dyDescent="0.15">
      <c r="A29" t="s">
        <v>198</v>
      </c>
      <c r="C29" s="330"/>
      <c r="D29" s="332">
        <v>250000</v>
      </c>
      <c r="E29" s="332">
        <f ca="1">D29+SUM('B Case Gral'!H226:I226)</f>
        <v>-3214354.2544725686</v>
      </c>
      <c r="F29" s="332">
        <f ca="1">E29+SUM('B Case Gral'!J226:K226)</f>
        <v>-9482423.1245232336</v>
      </c>
      <c r="G29" s="332">
        <f ca="1">F29+SUM('B Case Gral'!L226:M226)</f>
        <v>-7606241.7853105357</v>
      </c>
      <c r="H29" s="332">
        <f ca="1">G29+SUM('B Case Gral'!N226:O226)</f>
        <v>-3492358.2281903126</v>
      </c>
      <c r="I29" s="332">
        <f ca="1">H29+SUM('B Case Gral'!P226:Q226)</f>
        <v>2231270.7160567869</v>
      </c>
      <c r="J29" s="332">
        <f ca="1">I29+SUM('B Case Gral'!R226:S226)</f>
        <v>4861091.5358327627</v>
      </c>
      <c r="K29" s="332">
        <f ca="1">J29+SUM('B Case Gral'!T226:U226)</f>
        <v>5282979.2674135873</v>
      </c>
      <c r="L29" s="332">
        <f ca="1">K29+SUM('B Case Gral'!V226:W226)</f>
        <v>5745483.2070392622</v>
      </c>
      <c r="M29" s="332">
        <f ca="1">L29+SUM('B Case Gral'!X226:Y226)</f>
        <v>6430403.5947097866</v>
      </c>
      <c r="N29" s="332">
        <f ca="1">M29+SUM('B Case Gral'!Z226:AA226)-'B Case Gral'!AA35-'B Case Gral'!AA93</f>
        <v>7598302.353439182</v>
      </c>
    </row>
    <row r="30" spans="1:25" x14ac:dyDescent="0.15">
      <c r="A30" s="344" t="s">
        <v>284</v>
      </c>
    </row>
    <row r="31" spans="1:25" x14ac:dyDescent="0.15">
      <c r="A31" s="344" t="s">
        <v>285</v>
      </c>
      <c r="D31" s="349">
        <f>'[9]EECC Resid'!$D$34</f>
        <v>2564179.1811078014</v>
      </c>
      <c r="E31" s="349">
        <f>'[9]EECC Resid'!$E$34</f>
        <v>4747965.4526628004</v>
      </c>
      <c r="F31" s="349">
        <f>'[9]EECC Resid'!$F$34</f>
        <v>7145761.5403381223</v>
      </c>
      <c r="G31" s="349">
        <f>'[9]EECC Resid'!$G$34</f>
        <v>12109877.501136506</v>
      </c>
      <c r="H31" s="349">
        <f>'[9]EECC Resid'!$H$34</f>
        <v>4754175.0457898853</v>
      </c>
      <c r="I31" s="349"/>
    </row>
    <row r="32" spans="1:25" x14ac:dyDescent="0.15">
      <c r="A32" s="344" t="s">
        <v>356</v>
      </c>
      <c r="D32" s="349">
        <f>'[9]EECC Resid'!$D$35</f>
        <v>-3277076.8082722165</v>
      </c>
      <c r="E32" s="349">
        <f>'[9]EECC Resid'!$E$35</f>
        <v>-2933706.1599262585</v>
      </c>
      <c r="F32" s="349">
        <f>'[9]EECC Resid'!$F$36</f>
        <v>-6958306.9662494026</v>
      </c>
      <c r="G32" s="349">
        <f>'[9]EECC Resid'!$G$35</f>
        <v>-6159311.4432741599</v>
      </c>
      <c r="H32" s="349">
        <f>'[9]EECC Resid'!$H$35</f>
        <v>-1358033.9282866982</v>
      </c>
    </row>
    <row r="33" spans="1:25" x14ac:dyDescent="0.15">
      <c r="A33" s="344" t="s">
        <v>286</v>
      </c>
      <c r="D33" s="349">
        <v>0</v>
      </c>
      <c r="E33" s="349">
        <f>'B Case Gral'!H295+'B Case Gral'!I295</f>
        <v>0</v>
      </c>
      <c r="F33" s="349">
        <f>'B Case Gral'!J295+'B Case Gral'!K295</f>
        <v>2173950</v>
      </c>
      <c r="G33" s="349">
        <f>'B Case Gral'!L295+'B Case Gral'!M295</f>
        <v>4891387.5</v>
      </c>
      <c r="H33" s="349">
        <f>'B Case Gral'!N295+'B Case Gral'!O295</f>
        <v>5616037.5</v>
      </c>
      <c r="I33" s="349">
        <f>'B Case Gral'!P295+'B Case Gral'!Q295</f>
        <v>6340687.5</v>
      </c>
      <c r="J33" s="349">
        <f>'B Case Gral'!R295+'B Case Gral'!S295</f>
        <v>3442087.5</v>
      </c>
      <c r="K33" s="349">
        <f>'B Case Gral'!T295+'B Case Gral'!U295</f>
        <v>0</v>
      </c>
      <c r="L33" s="349">
        <f>'B Case Gral'!V295+'B Case Gral'!W295</f>
        <v>0</v>
      </c>
      <c r="M33" s="349">
        <f>'B Case Gral'!X295+'B Case Gral'!Y295</f>
        <v>0</v>
      </c>
      <c r="N33" s="349">
        <f>'B Case Gral'!Z295+'B Case Gral'!AA295</f>
        <v>0</v>
      </c>
      <c r="P33" s="349"/>
      <c r="R33" s="349"/>
      <c r="T33" s="349"/>
      <c r="V33" s="349"/>
      <c r="X33" s="349"/>
      <c r="Y33" s="349">
        <f>'B Case Gral'!AB240+'B Case Gral'!AC240</f>
        <v>0</v>
      </c>
    </row>
    <row r="34" spans="1:25" x14ac:dyDescent="0.15">
      <c r="A34" s="344" t="s">
        <v>287</v>
      </c>
      <c r="D34" s="349">
        <v>0</v>
      </c>
      <c r="E34" s="349">
        <f>'B Case Gral'!H12+'B Case Gral'!I12</f>
        <v>-655396.5</v>
      </c>
      <c r="F34" s="349">
        <f>'B Case Gral'!J12+'B Case Gral'!K12</f>
        <v>-4587775.5</v>
      </c>
      <c r="G34" s="349">
        <f>'B Case Gral'!L12+'B Case Gral'!M12</f>
        <v>-655396.5</v>
      </c>
      <c r="H34" s="349">
        <f>'B Case Gral'!N12+'B Case Gral'!O12</f>
        <v>-655396.5</v>
      </c>
      <c r="I34" s="349">
        <f>'B Case Gral'!P12+'B Case Gral'!Q12</f>
        <v>0</v>
      </c>
      <c r="J34" s="349">
        <f>'B Case Gral'!R12+'B Case Gral'!S12</f>
        <v>0</v>
      </c>
      <c r="K34" s="349">
        <f>'B Case Gral'!T12+'B Case Gral'!U12</f>
        <v>0</v>
      </c>
      <c r="L34" s="349">
        <f>'B Case Gral'!V12+'B Case Gral'!W12</f>
        <v>0</v>
      </c>
      <c r="M34" s="349">
        <f>'B Case Gral'!X12+'B Case Gral'!Y12</f>
        <v>0</v>
      </c>
      <c r="N34" s="349">
        <f>'B Case Gral'!Z12+'B Case Gral'!AA12</f>
        <v>0</v>
      </c>
      <c r="P34" s="349"/>
      <c r="R34" s="349"/>
      <c r="T34" s="349"/>
      <c r="V34" s="349"/>
      <c r="X34" s="349"/>
      <c r="Y34" s="349"/>
    </row>
    <row r="36" spans="1:25" x14ac:dyDescent="0.15">
      <c r="A36" t="s">
        <v>199</v>
      </c>
      <c r="D36" s="332">
        <f>SUM(D37:D38)</f>
        <v>0</v>
      </c>
      <c r="E36" s="332">
        <f t="shared" ref="E36:N36" si="7">SUM(E37:E38)</f>
        <v>0</v>
      </c>
      <c r="F36" s="332">
        <f t="shared" si="7"/>
        <v>0</v>
      </c>
      <c r="G36" s="332">
        <f t="shared" si="7"/>
        <v>0</v>
      </c>
      <c r="H36" s="332">
        <f t="shared" si="7"/>
        <v>0</v>
      </c>
      <c r="I36" s="332">
        <f t="shared" si="7"/>
        <v>0</v>
      </c>
      <c r="J36" s="332">
        <f t="shared" si="7"/>
        <v>0</v>
      </c>
      <c r="K36" s="332">
        <f t="shared" si="7"/>
        <v>0</v>
      </c>
      <c r="L36" s="332">
        <f t="shared" si="7"/>
        <v>0</v>
      </c>
      <c r="M36" s="332">
        <f t="shared" si="7"/>
        <v>0</v>
      </c>
      <c r="N36" s="332">
        <f t="shared" si="7"/>
        <v>0</v>
      </c>
    </row>
    <row r="37" spans="1:25" x14ac:dyDescent="0.15">
      <c r="A37" s="344" t="s">
        <v>279</v>
      </c>
      <c r="D37" s="349">
        <v>0</v>
      </c>
      <c r="E37" s="349">
        <f>'[9]EECC Resid'!$D$46</f>
        <v>0</v>
      </c>
      <c r="F37" s="349">
        <f>'[9]EECC Resid'!$E$46</f>
        <v>0</v>
      </c>
      <c r="G37" s="349">
        <f>'[9]EECC Resid'!$F$46</f>
        <v>0</v>
      </c>
      <c r="H37" s="349">
        <f>'[9]EECC Resid'!$G$46</f>
        <v>0</v>
      </c>
    </row>
    <row r="38" spans="1:25" x14ac:dyDescent="0.15">
      <c r="A38" s="344"/>
    </row>
    <row r="39" spans="1:25" x14ac:dyDescent="0.15">
      <c r="A39" t="s">
        <v>352</v>
      </c>
    </row>
    <row r="40" spans="1:25" x14ac:dyDescent="0.15">
      <c r="A40" s="344" t="s">
        <v>8</v>
      </c>
    </row>
    <row r="41" spans="1:25" x14ac:dyDescent="0.15">
      <c r="A41" s="344" t="s">
        <v>218</v>
      </c>
      <c r="D41" s="332">
        <f>EERR!C61</f>
        <v>113129.98133735365</v>
      </c>
      <c r="E41" s="332">
        <f>D41+EERR!D61</f>
        <v>198983.21322753956</v>
      </c>
    </row>
    <row r="42" spans="1:25" x14ac:dyDescent="0.15">
      <c r="A42" t="s">
        <v>200</v>
      </c>
      <c r="F42">
        <v>0</v>
      </c>
    </row>
    <row r="44" spans="1:25" x14ac:dyDescent="0.15">
      <c r="A44" s="334" t="s">
        <v>278</v>
      </c>
      <c r="B44" s="334"/>
      <c r="C44" s="342"/>
      <c r="D44" s="342">
        <f>D25+D29+D36+D42</f>
        <v>1048623.1948640794</v>
      </c>
      <c r="E44" s="342">
        <f t="shared" ref="E44:N44" ca="1" si="8">E25+E29+E36+E42</f>
        <v>-1993465.5412415573</v>
      </c>
      <c r="F44" s="342">
        <f t="shared" ca="1" si="8"/>
        <v>3107194.6934981216</v>
      </c>
      <c r="G44" s="342">
        <f t="shared" ca="1" si="8"/>
        <v>2059354.1899109716</v>
      </c>
      <c r="H44" s="342">
        <f t="shared" ca="1" si="8"/>
        <v>-1050580.80172829</v>
      </c>
      <c r="I44" s="342">
        <f t="shared" ca="1" si="8"/>
        <v>3452159.4292877982</v>
      </c>
      <c r="J44" s="342">
        <f t="shared" ca="1" si="8"/>
        <v>4861091.5358327627</v>
      </c>
      <c r="K44" s="342">
        <f t="shared" ca="1" si="8"/>
        <v>5282979.2674135873</v>
      </c>
      <c r="L44" s="342">
        <f t="shared" ca="1" si="8"/>
        <v>5745483.2070392622</v>
      </c>
      <c r="M44" s="342">
        <f t="shared" ca="1" si="8"/>
        <v>6430403.5947097866</v>
      </c>
      <c r="N44" s="342">
        <f t="shared" ca="1" si="8"/>
        <v>7598302.353439182</v>
      </c>
    </row>
    <row r="46" spans="1:25" x14ac:dyDescent="0.15">
      <c r="A46" s="340" t="s">
        <v>275</v>
      </c>
      <c r="B46" s="340"/>
      <c r="C46" s="340"/>
      <c r="D46" s="350">
        <f ca="1">D21+D44</f>
        <v>11349423.194864079</v>
      </c>
      <c r="E46" s="350">
        <f t="shared" ref="E46:N46" ca="1" si="9">E21+E44</f>
        <v>9683469.9289207049</v>
      </c>
      <c r="F46" s="350">
        <f t="shared" ca="1" si="9"/>
        <v>19140998.147547413</v>
      </c>
      <c r="G46" s="350">
        <f t="shared" ca="1" si="9"/>
        <v>16315203.740659792</v>
      </c>
      <c r="H46" s="350">
        <f t="shared" ca="1" si="9"/>
        <v>12760195.811720058</v>
      </c>
      <c r="I46" s="350">
        <f t="shared" ca="1" si="9"/>
        <v>15225805.61483591</v>
      </c>
      <c r="J46" s="350">
        <f t="shared" ca="1" si="9"/>
        <v>16634737.721380875</v>
      </c>
      <c r="K46" s="350">
        <f t="shared" ca="1" si="9"/>
        <v>17056625.452961698</v>
      </c>
      <c r="L46" s="350">
        <f t="shared" ca="1" si="9"/>
        <v>17519129.392587375</v>
      </c>
      <c r="M46" s="350">
        <f t="shared" ca="1" si="9"/>
        <v>18204049.780257899</v>
      </c>
      <c r="N46" s="350">
        <f t="shared" ca="1" si="9"/>
        <v>19371948.538987294</v>
      </c>
    </row>
    <row r="48" spans="1:25" x14ac:dyDescent="0.15">
      <c r="A48" s="337" t="s">
        <v>357</v>
      </c>
      <c r="B48" s="338"/>
      <c r="C48" s="338"/>
      <c r="D48" s="338"/>
      <c r="E48" s="338"/>
      <c r="F48" s="338"/>
      <c r="G48" s="338"/>
      <c r="H48" s="338"/>
      <c r="I48" s="338"/>
      <c r="J48" s="338"/>
      <c r="K48" s="338"/>
      <c r="L48" s="338"/>
      <c r="M48" s="338"/>
      <c r="N48" s="338"/>
    </row>
    <row r="50" spans="1:14" x14ac:dyDescent="0.15">
      <c r="A50" s="339" t="s">
        <v>211</v>
      </c>
      <c r="B50" s="339"/>
      <c r="C50" s="339"/>
      <c r="D50" s="339"/>
      <c r="E50" s="339"/>
      <c r="F50" s="339"/>
      <c r="G50" s="339"/>
      <c r="H50" s="339"/>
      <c r="I50" s="339"/>
      <c r="J50" s="339"/>
      <c r="K50" s="339"/>
      <c r="L50" s="339"/>
      <c r="M50" s="339"/>
      <c r="N50" s="339"/>
    </row>
    <row r="51" spans="1:14" x14ac:dyDescent="0.15">
      <c r="A51" s="322"/>
      <c r="F51">
        <f>F53+F54+F57+F61+F62</f>
        <v>-500000</v>
      </c>
    </row>
    <row r="52" spans="1:14" x14ac:dyDescent="0.15">
      <c r="A52" s="322" t="s">
        <v>359</v>
      </c>
      <c r="E52" s="330"/>
      <c r="F52" s="330"/>
      <c r="G52" s="330"/>
      <c r="H52" s="330"/>
      <c r="I52" s="330"/>
      <c r="J52" s="330"/>
      <c r="K52" s="330"/>
      <c r="L52" s="330"/>
      <c r="M52" s="330"/>
      <c r="N52" s="330"/>
    </row>
    <row r="53" spans="1:14" x14ac:dyDescent="0.15">
      <c r="A53" s="344"/>
      <c r="E53" s="349"/>
      <c r="F53" s="349">
        <v>0</v>
      </c>
      <c r="G53" s="349">
        <v>0</v>
      </c>
      <c r="H53" s="349">
        <v>0</v>
      </c>
      <c r="I53" s="349"/>
      <c r="J53" s="349"/>
      <c r="K53" s="349"/>
      <c r="L53" s="349"/>
      <c r="M53" s="349"/>
      <c r="N53" s="349"/>
    </row>
    <row r="54" spans="1:14" x14ac:dyDescent="0.15">
      <c r="A54" s="322" t="s">
        <v>360</v>
      </c>
      <c r="D54" s="349">
        <v>0</v>
      </c>
      <c r="E54" s="349">
        <v>0</v>
      </c>
      <c r="F54" s="349">
        <v>0</v>
      </c>
      <c r="G54" s="349">
        <v>0</v>
      </c>
      <c r="H54" s="349">
        <v>0</v>
      </c>
      <c r="I54" s="349">
        <v>0</v>
      </c>
      <c r="J54" s="349">
        <v>0</v>
      </c>
      <c r="K54" s="349">
        <v>0</v>
      </c>
      <c r="L54" s="349">
        <v>0</v>
      </c>
      <c r="M54" s="349">
        <v>0</v>
      </c>
      <c r="N54" s="349">
        <v>0</v>
      </c>
    </row>
    <row r="55" spans="1:14" x14ac:dyDescent="0.15">
      <c r="E55" s="332"/>
      <c r="F55" s="332"/>
      <c r="G55" s="332"/>
      <c r="H55" s="332"/>
      <c r="I55" s="332"/>
      <c r="J55" s="332"/>
      <c r="K55" s="332"/>
      <c r="L55" s="332"/>
      <c r="M55" s="332"/>
      <c r="N55" s="332"/>
    </row>
    <row r="56" spans="1:14" x14ac:dyDescent="0.15">
      <c r="A56" s="322" t="s">
        <v>358</v>
      </c>
      <c r="E56" s="332">
        <f>'[9]EECC Resid'!$D$61</f>
        <v>2564179.1811078014</v>
      </c>
      <c r="F56" s="349">
        <f>'[9]EECC Resid'!$E$61</f>
        <v>7312144.6337706018</v>
      </c>
      <c r="G56" s="349">
        <f>'[9]EECC Resid'!$F$61</f>
        <v>14457906.174108725</v>
      </c>
      <c r="H56" s="349">
        <f>'[9]EECC Resid'!$G$61</f>
        <v>10906804.314727681</v>
      </c>
      <c r="I56" s="349"/>
      <c r="J56" s="349"/>
      <c r="K56" s="349"/>
      <c r="L56" s="349"/>
      <c r="M56" s="349"/>
      <c r="N56" s="349"/>
    </row>
    <row r="57" spans="1:14" x14ac:dyDescent="0.15">
      <c r="A57" s="344"/>
      <c r="E57" s="349"/>
      <c r="F57" s="349">
        <v>-500000</v>
      </c>
      <c r="G57" s="349" t="e">
        <f>F57+(E17-#REF!)</f>
        <v>#REF!</v>
      </c>
      <c r="H57" s="349" t="e">
        <f>G57+(#REF!-E17)</f>
        <v>#REF!</v>
      </c>
      <c r="I57" s="349"/>
      <c r="J57" s="349"/>
      <c r="K57" s="349"/>
      <c r="L57" s="349"/>
      <c r="M57" s="349"/>
      <c r="N57" s="349"/>
    </row>
    <row r="58" spans="1:14" x14ac:dyDescent="0.15">
      <c r="B58" s="335"/>
      <c r="C58" s="335"/>
      <c r="D58" s="335"/>
      <c r="E58" s="330"/>
      <c r="F58" s="330"/>
      <c r="G58" s="330"/>
      <c r="H58" s="330"/>
      <c r="I58" s="330"/>
      <c r="J58" s="330"/>
      <c r="K58" s="330"/>
      <c r="L58" s="330"/>
      <c r="M58" s="330"/>
      <c r="N58" s="330"/>
    </row>
    <row r="59" spans="1:14" x14ac:dyDescent="0.15">
      <c r="A59" s="344"/>
      <c r="B59" s="335"/>
      <c r="C59" s="335"/>
      <c r="D59" s="335"/>
      <c r="E59" s="349"/>
      <c r="F59" s="349"/>
      <c r="G59" s="349"/>
      <c r="H59" s="349"/>
      <c r="I59" s="349"/>
      <c r="J59" s="349"/>
      <c r="K59" s="349"/>
      <c r="L59" s="349"/>
      <c r="M59" s="349"/>
      <c r="N59" s="349"/>
    </row>
    <row r="60" spans="1:14" x14ac:dyDescent="0.15">
      <c r="A60" s="344"/>
      <c r="B60" s="335"/>
      <c r="C60" s="335"/>
      <c r="D60" s="335"/>
      <c r="E60" s="349"/>
      <c r="F60" s="349"/>
      <c r="G60" s="349"/>
      <c r="H60" s="349"/>
      <c r="I60" s="349"/>
      <c r="J60" s="349"/>
      <c r="K60" s="349"/>
      <c r="L60" s="349"/>
      <c r="M60" s="349"/>
      <c r="N60" s="349"/>
    </row>
    <row r="61" spans="1:14" x14ac:dyDescent="0.15">
      <c r="A61" t="s">
        <v>212</v>
      </c>
    </row>
    <row r="62" spans="1:14" x14ac:dyDescent="0.15">
      <c r="A62" s="334" t="s">
        <v>213</v>
      </c>
      <c r="B62" s="334"/>
      <c r="C62" s="334"/>
      <c r="D62" s="334"/>
      <c r="E62" s="342"/>
      <c r="F62" s="342"/>
      <c r="G62" s="342"/>
      <c r="H62" s="342"/>
      <c r="I62" s="342"/>
      <c r="J62" s="342"/>
      <c r="K62" s="342"/>
      <c r="L62" s="342"/>
      <c r="M62" s="342"/>
      <c r="N62" s="342"/>
    </row>
    <row r="63" spans="1:14" x14ac:dyDescent="0.15">
      <c r="A63" s="334"/>
      <c r="B63" s="334"/>
      <c r="C63" s="334"/>
      <c r="D63" s="334"/>
      <c r="E63" s="362"/>
      <c r="F63" s="362"/>
      <c r="G63" s="362"/>
      <c r="H63" s="362"/>
      <c r="I63" s="362"/>
      <c r="J63" s="362"/>
      <c r="K63" s="362"/>
      <c r="L63" s="362"/>
      <c r="M63" s="362"/>
      <c r="N63" s="362"/>
    </row>
    <row r="64" spans="1:14" x14ac:dyDescent="0.15">
      <c r="A64" s="334"/>
      <c r="B64" s="334"/>
      <c r="C64" s="334"/>
      <c r="D64" s="334"/>
      <c r="E64" s="362"/>
      <c r="F64" s="362"/>
      <c r="G64" s="362"/>
      <c r="H64" s="362"/>
      <c r="I64" s="362"/>
      <c r="J64" s="362"/>
      <c r="K64" s="362"/>
      <c r="L64" s="362"/>
      <c r="M64" s="362"/>
      <c r="N64" s="362"/>
    </row>
    <row r="65" spans="1:21" x14ac:dyDescent="0.15">
      <c r="A65" s="340" t="s">
        <v>363</v>
      </c>
      <c r="B65" s="340"/>
      <c r="C65" s="340"/>
      <c r="D65" s="340"/>
      <c r="E65" s="350">
        <f>E56</f>
        <v>2564179.1811078014</v>
      </c>
      <c r="F65" s="350">
        <f t="shared" ref="F65:N65" si="10">F56</f>
        <v>7312144.6337706018</v>
      </c>
      <c r="G65" s="350">
        <f t="shared" si="10"/>
        <v>14457906.174108725</v>
      </c>
      <c r="H65" s="350">
        <f t="shared" si="10"/>
        <v>10906804.314727681</v>
      </c>
      <c r="I65" s="350">
        <f t="shared" si="10"/>
        <v>0</v>
      </c>
      <c r="J65" s="350">
        <f t="shared" si="10"/>
        <v>0</v>
      </c>
      <c r="K65" s="350">
        <f t="shared" si="10"/>
        <v>0</v>
      </c>
      <c r="L65" s="350">
        <f t="shared" si="10"/>
        <v>0</v>
      </c>
      <c r="M65" s="350">
        <f t="shared" si="10"/>
        <v>0</v>
      </c>
      <c r="N65" s="350">
        <f t="shared" si="10"/>
        <v>0</v>
      </c>
    </row>
    <row r="66" spans="1:21" x14ac:dyDescent="0.15">
      <c r="E66" s="332"/>
      <c r="F66" s="332"/>
      <c r="G66" s="332"/>
      <c r="H66" s="332"/>
      <c r="I66" s="332"/>
      <c r="J66" s="332"/>
      <c r="K66" s="332"/>
      <c r="L66" s="332"/>
      <c r="M66" s="332"/>
      <c r="N66" s="332"/>
    </row>
    <row r="67" spans="1:21" x14ac:dyDescent="0.15">
      <c r="A67" s="339" t="s">
        <v>214</v>
      </c>
      <c r="B67" s="339"/>
      <c r="C67" s="339"/>
      <c r="D67" s="339"/>
      <c r="E67" s="339"/>
      <c r="F67" s="339"/>
      <c r="G67" s="339"/>
      <c r="H67" s="339"/>
      <c r="I67" s="339"/>
      <c r="J67" s="339"/>
      <c r="K67" s="339"/>
      <c r="L67" s="339"/>
      <c r="M67" s="339"/>
      <c r="N67" s="339"/>
    </row>
    <row r="68" spans="1:21" x14ac:dyDescent="0.15">
      <c r="A68" s="344"/>
      <c r="E68" s="349"/>
      <c r="F68" s="349"/>
      <c r="G68" s="349"/>
      <c r="H68" s="349"/>
      <c r="I68" s="349"/>
      <c r="J68" s="349"/>
      <c r="K68" s="349"/>
      <c r="L68" s="349"/>
      <c r="M68" s="349"/>
      <c r="N68" s="349"/>
    </row>
    <row r="69" spans="1:21" x14ac:dyDescent="0.15">
      <c r="A69" s="344" t="s">
        <v>362</v>
      </c>
      <c r="E69" s="349"/>
      <c r="F69" s="349"/>
      <c r="G69" s="349"/>
      <c r="H69" s="349"/>
      <c r="I69" s="349"/>
      <c r="J69" s="349"/>
      <c r="K69" s="349"/>
      <c r="L69" s="349"/>
      <c r="M69" s="349"/>
      <c r="N69" s="349"/>
    </row>
    <row r="70" spans="1:21" x14ac:dyDescent="0.15">
      <c r="A70" t="s">
        <v>215</v>
      </c>
      <c r="D70" s="332">
        <f ca="1">D46</f>
        <v>11349423.194864079</v>
      </c>
      <c r="E70" s="332">
        <f ca="1">D70</f>
        <v>11349423.194864079</v>
      </c>
      <c r="F70" s="332">
        <f>F4+F51</f>
        <v>-500000</v>
      </c>
      <c r="G70" s="332"/>
      <c r="H70" s="332"/>
      <c r="I70" s="332"/>
      <c r="J70" s="332"/>
      <c r="K70" s="332"/>
      <c r="L70" s="332"/>
      <c r="M70" s="332"/>
      <c r="N70" s="332"/>
    </row>
    <row r="71" spans="1:21" x14ac:dyDescent="0.15">
      <c r="A71" s="344" t="s">
        <v>216</v>
      </c>
      <c r="E71" s="349">
        <f ca="1">-('B Case Gral'!H226+'B Case Gral'!I226)</f>
        <v>3464354.2544725686</v>
      </c>
      <c r="F71" s="349">
        <f ca="1">E71-('B Case Gral'!J226+'B Case Gral'!K226)</f>
        <v>9732423.1245232336</v>
      </c>
      <c r="G71" s="349"/>
      <c r="I71" s="349"/>
      <c r="J71" s="349">
        <f>I71-('B Case Gral'!N226+'B Case Gral'!O226)</f>
        <v>-4113883.5571202231</v>
      </c>
      <c r="K71" s="349"/>
      <c r="L71" s="349">
        <f>K71-('B Case Gral'!P226+'B Case Gral'!Q226)</f>
        <v>-5723628.9442470996</v>
      </c>
      <c r="M71" s="349"/>
      <c r="N71" s="349">
        <f>M71-('B Case Gral'!R226+'B Case Gral'!S226)</f>
        <v>-2629820.8197759753</v>
      </c>
      <c r="O71" s="349"/>
      <c r="P71" s="349"/>
      <c r="Q71" s="349"/>
      <c r="R71" s="349"/>
      <c r="S71" s="349"/>
      <c r="T71" s="349"/>
      <c r="U71" s="349"/>
    </row>
    <row r="72" spans="1:21" x14ac:dyDescent="0.15">
      <c r="A72" s="344" t="s">
        <v>361</v>
      </c>
      <c r="E72" s="349"/>
      <c r="F72" s="349">
        <v>0</v>
      </c>
      <c r="G72" s="349"/>
      <c r="H72" s="349"/>
      <c r="I72" s="349"/>
      <c r="J72" s="349"/>
      <c r="K72" s="349"/>
      <c r="L72" s="349"/>
      <c r="M72" s="349"/>
      <c r="N72" s="349"/>
    </row>
    <row r="73" spans="1:21" x14ac:dyDescent="0.15">
      <c r="A73" s="322"/>
      <c r="E73" s="332"/>
      <c r="F73" s="332"/>
      <c r="G73" s="332"/>
      <c r="H73" s="332"/>
      <c r="I73" s="332"/>
      <c r="J73" s="332"/>
      <c r="K73" s="332"/>
      <c r="L73" s="332"/>
      <c r="M73" s="332"/>
      <c r="N73" s="332"/>
    </row>
    <row r="74" spans="1:21" x14ac:dyDescent="0.15">
      <c r="A74" s="340"/>
      <c r="B74" s="340"/>
      <c r="C74" s="340"/>
      <c r="D74" s="350">
        <f ca="1">D46+D65</f>
        <v>11349423.194864079</v>
      </c>
      <c r="E74" s="350">
        <f t="shared" ref="E74:N74" ca="1" si="11">E46+E65</f>
        <v>12247649.110028505</v>
      </c>
      <c r="F74" s="350">
        <f t="shared" ca="1" si="11"/>
        <v>26453142.781318016</v>
      </c>
      <c r="G74" s="350">
        <f t="shared" ca="1" si="11"/>
        <v>30773109.914768517</v>
      </c>
      <c r="H74" s="350">
        <f t="shared" ca="1" si="11"/>
        <v>23667000.126447737</v>
      </c>
      <c r="I74" s="350">
        <f t="shared" ca="1" si="11"/>
        <v>15225805.61483591</v>
      </c>
      <c r="J74" s="350">
        <f t="shared" ca="1" si="11"/>
        <v>16634737.721380875</v>
      </c>
      <c r="K74" s="350">
        <f t="shared" ca="1" si="11"/>
        <v>17056625.452961698</v>
      </c>
      <c r="L74" s="350">
        <f t="shared" ca="1" si="11"/>
        <v>17519129.392587375</v>
      </c>
      <c r="M74" s="350">
        <f t="shared" ca="1" si="11"/>
        <v>18204049.780257899</v>
      </c>
      <c r="N74" s="350">
        <f t="shared" ca="1" si="11"/>
        <v>19371948.538987294</v>
      </c>
    </row>
    <row r="75" spans="1:21" x14ac:dyDescent="0.15">
      <c r="A75" s="344"/>
      <c r="E75" s="349"/>
      <c r="F75" s="349"/>
      <c r="G75" s="349"/>
      <c r="H75" s="349"/>
      <c r="I75" s="349"/>
      <c r="J75" s="349"/>
      <c r="K75" s="349"/>
      <c r="L75" s="349"/>
      <c r="M75" s="349"/>
      <c r="N75" s="349"/>
    </row>
    <row r="76" spans="1:21" x14ac:dyDescent="0.15">
      <c r="A76" s="322"/>
    </row>
    <row r="77" spans="1:21" x14ac:dyDescent="0.15">
      <c r="A77" s="334"/>
      <c r="B77" s="334"/>
      <c r="C77" s="334"/>
      <c r="D77" s="334"/>
      <c r="E77" s="342"/>
      <c r="F77" s="342"/>
      <c r="G77" s="342"/>
      <c r="H77" s="342"/>
      <c r="I77" s="342"/>
      <c r="J77" s="342"/>
      <c r="K77" s="342"/>
      <c r="L77" s="342"/>
      <c r="M77" s="342"/>
      <c r="N77" s="342"/>
    </row>
    <row r="79" spans="1:21" x14ac:dyDescent="0.15">
      <c r="A79" s="336"/>
      <c r="B79" s="336"/>
      <c r="C79" s="336"/>
      <c r="D79" s="336"/>
      <c r="E79" s="343"/>
      <c r="F79" s="343"/>
      <c r="G79" s="343"/>
      <c r="H79" s="343"/>
      <c r="I79" s="343"/>
      <c r="J79" s="343"/>
      <c r="K79" s="343"/>
      <c r="L79" s="343"/>
      <c r="M79" s="343"/>
      <c r="N79" s="343"/>
    </row>
    <row r="81" spans="1:14" x14ac:dyDescent="0.15">
      <c r="A81" s="340"/>
      <c r="B81" s="340"/>
      <c r="C81" s="340"/>
      <c r="D81" s="340"/>
      <c r="E81" s="350"/>
      <c r="F81" s="350"/>
      <c r="G81" s="350"/>
      <c r="H81" s="350"/>
      <c r="I81" s="350"/>
      <c r="J81" s="350"/>
      <c r="K81" s="350"/>
      <c r="L81" s="350"/>
      <c r="M81" s="350"/>
      <c r="N81" s="350"/>
    </row>
    <row r="83" spans="1:14" x14ac:dyDescent="0.15">
      <c r="A83" s="322"/>
      <c r="E83" s="332"/>
      <c r="F83" s="332"/>
      <c r="G83" s="332"/>
      <c r="H83" s="332"/>
      <c r="I83" s="332"/>
      <c r="J83" s="332"/>
      <c r="K83" s="332"/>
      <c r="L83" s="332"/>
      <c r="M83" s="332"/>
      <c r="N83" s="332"/>
    </row>
    <row r="84" spans="1:14" x14ac:dyDescent="0.15">
      <c r="A84" s="344"/>
      <c r="B84" s="344"/>
      <c r="C84" s="344"/>
      <c r="D84" s="344"/>
      <c r="E84" s="349"/>
      <c r="F84" s="349"/>
      <c r="G84" s="349"/>
      <c r="H84" s="349"/>
      <c r="I84" s="349"/>
      <c r="J84" s="349"/>
      <c r="K84" s="349"/>
      <c r="L84" s="349"/>
      <c r="M84" s="349"/>
      <c r="N84" s="349"/>
    </row>
    <row r="85" spans="1:14" x14ac:dyDescent="0.15">
      <c r="A85" s="344"/>
      <c r="B85" s="344"/>
      <c r="C85" s="344"/>
      <c r="D85" s="344"/>
      <c r="E85" s="349"/>
      <c r="F85" s="349"/>
      <c r="G85" s="349"/>
      <c r="H85" s="349"/>
      <c r="I85" s="349"/>
      <c r="J85" s="349"/>
      <c r="K85" s="349"/>
      <c r="L85" s="349"/>
      <c r="M85" s="349"/>
      <c r="N85" s="349"/>
    </row>
    <row r="87" spans="1:14" x14ac:dyDescent="0.15">
      <c r="A87" s="334"/>
      <c r="B87" s="334"/>
      <c r="C87" s="334"/>
      <c r="D87" s="334"/>
      <c r="E87" s="341"/>
      <c r="F87" s="341"/>
      <c r="G87" s="341"/>
      <c r="H87" s="341"/>
      <c r="I87" s="341"/>
      <c r="J87" s="341"/>
      <c r="K87" s="341"/>
      <c r="L87" s="341"/>
      <c r="M87" s="341"/>
      <c r="N87" s="341"/>
    </row>
    <row r="89" spans="1:14" x14ac:dyDescent="0.15">
      <c r="A89" s="322"/>
      <c r="E89" s="330"/>
      <c r="F89" s="330"/>
      <c r="G89" s="330"/>
      <c r="H89" s="330"/>
      <c r="I89" s="330"/>
      <c r="J89" s="330"/>
      <c r="K89" s="330"/>
      <c r="L89" s="330"/>
      <c r="M89" s="330"/>
      <c r="N89" s="330"/>
    </row>
    <row r="91" spans="1:14" x14ac:dyDescent="0.15">
      <c r="A91" s="334"/>
      <c r="B91" s="334"/>
      <c r="C91" s="334"/>
      <c r="D91" s="334"/>
      <c r="E91" s="341"/>
      <c r="F91" s="341"/>
      <c r="G91" s="341"/>
      <c r="H91" s="341"/>
      <c r="I91" s="341"/>
      <c r="J91" s="341"/>
      <c r="K91" s="341"/>
      <c r="L91" s="341"/>
      <c r="M91" s="341"/>
      <c r="N91" s="341"/>
    </row>
    <row r="93" spans="1:14" x14ac:dyDescent="0.15">
      <c r="A93" s="322"/>
      <c r="B93" s="331"/>
      <c r="C93" s="331"/>
      <c r="D93" s="331"/>
      <c r="E93" s="330"/>
      <c r="F93" s="330"/>
      <c r="G93" s="330"/>
      <c r="H93" s="330"/>
      <c r="I93" s="330"/>
      <c r="J93" s="330"/>
      <c r="K93" s="330"/>
      <c r="L93" s="330"/>
      <c r="M93" s="330"/>
      <c r="N93" s="330"/>
    </row>
    <row r="95" spans="1:14" x14ac:dyDescent="0.15">
      <c r="A95" s="340"/>
      <c r="B95" s="340"/>
      <c r="C95" s="340"/>
      <c r="D95" s="340"/>
      <c r="E95" s="350"/>
      <c r="F95" s="350"/>
      <c r="G95" s="350"/>
      <c r="H95" s="350"/>
      <c r="I95" s="350"/>
      <c r="J95" s="350"/>
      <c r="K95" s="350"/>
      <c r="L95" s="350"/>
      <c r="M95" s="350"/>
      <c r="N95" s="350"/>
    </row>
    <row r="97" spans="1:14" x14ac:dyDescent="0.15">
      <c r="A97" s="351"/>
      <c r="B97" s="352"/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</row>
    <row r="98" spans="1:14" x14ac:dyDescent="0.15">
      <c r="A98" s="322"/>
      <c r="B98" s="322"/>
      <c r="C98" s="322"/>
      <c r="D98" s="322"/>
      <c r="E98" s="322"/>
      <c r="F98" s="322"/>
      <c r="G98" s="322"/>
      <c r="H98" s="322"/>
      <c r="I98" s="322"/>
      <c r="J98" s="322"/>
      <c r="K98" s="322"/>
      <c r="L98" s="322"/>
      <c r="M98" s="322"/>
      <c r="N98" s="322"/>
    </row>
    <row r="99" spans="1:14" x14ac:dyDescent="0.15">
      <c r="A99" s="322"/>
      <c r="B99" s="322"/>
      <c r="C99" s="322"/>
      <c r="D99" s="322"/>
      <c r="E99" s="353"/>
      <c r="F99" s="353"/>
      <c r="G99" s="353"/>
      <c r="H99" s="353"/>
      <c r="I99" s="353"/>
      <c r="J99" s="353"/>
      <c r="K99" s="353"/>
      <c r="L99" s="353"/>
      <c r="M99" s="353"/>
      <c r="N99" s="353"/>
    </row>
    <row r="100" spans="1:14" x14ac:dyDescent="0.15">
      <c r="A100" s="322"/>
      <c r="B100" s="333"/>
      <c r="C100" s="333"/>
      <c r="D100" s="333"/>
      <c r="E100" s="353"/>
      <c r="F100" s="353"/>
      <c r="G100" s="353"/>
      <c r="H100" s="353"/>
      <c r="I100" s="353"/>
      <c r="J100" s="353"/>
      <c r="K100" s="353"/>
      <c r="L100" s="353"/>
      <c r="M100" s="353"/>
      <c r="N100" s="353"/>
    </row>
    <row r="101" spans="1:14" x14ac:dyDescent="0.15">
      <c r="A101" s="322"/>
      <c r="B101" s="322"/>
      <c r="C101" s="322"/>
      <c r="D101" s="322"/>
      <c r="E101" s="353"/>
      <c r="F101" s="353"/>
      <c r="G101" s="353"/>
      <c r="H101" s="353"/>
      <c r="I101" s="353"/>
      <c r="J101" s="353"/>
      <c r="K101" s="353"/>
      <c r="L101" s="353"/>
      <c r="M101" s="353"/>
      <c r="N101" s="353"/>
    </row>
    <row r="102" spans="1:14" x14ac:dyDescent="0.15">
      <c r="A102" s="322"/>
      <c r="B102" s="322"/>
      <c r="C102" s="322"/>
      <c r="D102" s="322"/>
      <c r="E102" s="322"/>
      <c r="F102" s="322"/>
      <c r="G102" s="322"/>
      <c r="H102" s="322"/>
      <c r="I102" s="322"/>
      <c r="J102" s="322"/>
      <c r="K102" s="322"/>
      <c r="L102" s="322"/>
      <c r="M102" s="322"/>
      <c r="N102" s="322"/>
    </row>
    <row r="103" spans="1:14" x14ac:dyDescent="0.15">
      <c r="A103" s="334"/>
      <c r="B103" s="334"/>
      <c r="C103" s="334"/>
      <c r="D103" s="334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</row>
    <row r="104" spans="1:14" x14ac:dyDescent="0.15">
      <c r="A104" s="322"/>
      <c r="B104" s="322"/>
      <c r="C104" s="322"/>
      <c r="D104" s="322"/>
      <c r="E104" s="322"/>
      <c r="F104" s="322"/>
      <c r="G104" s="322"/>
      <c r="H104" s="322"/>
      <c r="I104" s="322"/>
      <c r="J104" s="322"/>
      <c r="K104" s="322"/>
      <c r="L104" s="322"/>
      <c r="M104" s="322"/>
      <c r="N104" s="322"/>
    </row>
    <row r="105" spans="1:14" x14ac:dyDescent="0.15">
      <c r="A105" s="322"/>
      <c r="B105" s="322"/>
      <c r="C105" s="322"/>
      <c r="D105" s="322"/>
      <c r="E105" s="353"/>
      <c r="F105" s="353"/>
      <c r="G105" s="353"/>
      <c r="H105" s="353"/>
      <c r="I105" s="353"/>
      <c r="J105" s="353"/>
      <c r="K105" s="353"/>
      <c r="L105" s="353"/>
      <c r="M105" s="353"/>
      <c r="N105" s="353"/>
    </row>
    <row r="106" spans="1:14" x14ac:dyDescent="0.15">
      <c r="A106" s="354"/>
      <c r="B106" s="322"/>
      <c r="C106" s="322"/>
      <c r="D106" s="322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</row>
    <row r="107" spans="1:14" x14ac:dyDescent="0.15">
      <c r="A107" s="354"/>
      <c r="B107" s="322"/>
      <c r="C107" s="322"/>
      <c r="D107" s="322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</row>
    <row r="108" spans="1:14" x14ac:dyDescent="0.15">
      <c r="A108" s="322"/>
      <c r="B108" s="322"/>
      <c r="C108" s="322"/>
      <c r="D108" s="322"/>
      <c r="E108" s="353"/>
      <c r="F108" s="353"/>
      <c r="G108" s="353"/>
      <c r="H108" s="353"/>
      <c r="I108" s="353"/>
      <c r="J108" s="353"/>
      <c r="K108" s="353"/>
      <c r="L108" s="353"/>
      <c r="M108" s="353"/>
      <c r="N108" s="353"/>
    </row>
    <row r="109" spans="1:14" x14ac:dyDescent="0.15">
      <c r="A109" s="322"/>
      <c r="B109" s="322"/>
      <c r="C109" s="322"/>
      <c r="D109" s="322"/>
      <c r="E109" s="353"/>
      <c r="F109" s="353"/>
      <c r="G109" s="353"/>
      <c r="H109" s="353"/>
      <c r="I109" s="353"/>
      <c r="J109" s="353"/>
      <c r="K109" s="353"/>
      <c r="L109" s="353"/>
      <c r="M109" s="353"/>
      <c r="N109" s="353"/>
    </row>
    <row r="110" spans="1:14" x14ac:dyDescent="0.15">
      <c r="A110" s="322"/>
      <c r="B110" s="322"/>
      <c r="C110" s="322"/>
      <c r="D110" s="322"/>
      <c r="E110" s="322"/>
      <c r="F110" s="322"/>
      <c r="G110" s="322"/>
      <c r="H110" s="322"/>
      <c r="I110" s="322"/>
      <c r="J110" s="322"/>
      <c r="K110" s="322"/>
      <c r="L110" s="322"/>
      <c r="M110" s="322"/>
      <c r="N110" s="322"/>
    </row>
    <row r="111" spans="1:14" x14ac:dyDescent="0.15">
      <c r="A111" s="334"/>
      <c r="B111" s="334"/>
      <c r="C111" s="334"/>
      <c r="D111" s="334"/>
      <c r="E111" s="342"/>
      <c r="F111" s="342"/>
      <c r="G111" s="342"/>
      <c r="H111" s="342"/>
      <c r="I111" s="342"/>
      <c r="J111" s="342"/>
      <c r="K111" s="342"/>
      <c r="L111" s="342"/>
      <c r="M111" s="342"/>
      <c r="N111" s="342"/>
    </row>
    <row r="112" spans="1:14" x14ac:dyDescent="0.15">
      <c r="A112" s="322"/>
      <c r="B112" s="322"/>
      <c r="C112" s="322"/>
      <c r="D112" s="322"/>
      <c r="E112" s="322"/>
      <c r="F112" s="322"/>
      <c r="G112" s="322"/>
      <c r="H112" s="322"/>
      <c r="I112" s="322"/>
      <c r="J112" s="322"/>
      <c r="K112" s="322"/>
      <c r="L112" s="322"/>
      <c r="M112" s="322"/>
      <c r="N112" s="322"/>
    </row>
    <row r="113" spans="1:14" x14ac:dyDescent="0.15">
      <c r="A113" s="356"/>
      <c r="B113" s="356"/>
      <c r="C113" s="356"/>
      <c r="D113" s="356"/>
      <c r="E113" s="357"/>
      <c r="F113" s="357"/>
      <c r="G113" s="357"/>
      <c r="H113" s="357"/>
      <c r="I113" s="357"/>
      <c r="J113" s="357"/>
      <c r="K113" s="357"/>
      <c r="L113" s="357"/>
      <c r="M113" s="357"/>
      <c r="N113" s="357"/>
    </row>
    <row r="114" spans="1:14" x14ac:dyDescent="0.15">
      <c r="A114" s="322"/>
      <c r="B114" s="322"/>
      <c r="C114" s="322"/>
      <c r="D114" s="322"/>
      <c r="E114" s="322"/>
      <c r="F114" s="322"/>
      <c r="G114" s="322"/>
      <c r="H114" s="322"/>
      <c r="I114" s="322"/>
      <c r="J114" s="322"/>
      <c r="K114" s="322"/>
      <c r="L114" s="322"/>
      <c r="M114" s="322"/>
      <c r="N114" s="322"/>
    </row>
    <row r="115" spans="1:14" x14ac:dyDescent="0.15">
      <c r="A115" s="322"/>
      <c r="B115" s="322"/>
      <c r="C115" s="322"/>
      <c r="D115" s="322"/>
      <c r="E115" s="333"/>
      <c r="F115" s="333"/>
      <c r="G115" s="333"/>
      <c r="H115" s="333"/>
      <c r="I115" s="333"/>
      <c r="J115" s="333"/>
      <c r="K115" s="333"/>
      <c r="L115" s="333"/>
      <c r="M115" s="333"/>
      <c r="N115" s="333"/>
    </row>
    <row r="116" spans="1:14" x14ac:dyDescent="0.15">
      <c r="A116" s="322"/>
      <c r="B116" s="322"/>
      <c r="C116" s="322"/>
      <c r="D116" s="322"/>
      <c r="E116" s="322"/>
      <c r="F116" s="322"/>
      <c r="G116" s="322"/>
      <c r="H116" s="322"/>
      <c r="I116" s="322"/>
      <c r="J116" s="322"/>
      <c r="K116" s="322"/>
      <c r="L116" s="322"/>
      <c r="M116" s="322"/>
      <c r="N116" s="322"/>
    </row>
    <row r="117" spans="1:14" x14ac:dyDescent="0.15">
      <c r="A117" s="334"/>
      <c r="B117" s="334"/>
      <c r="C117" s="334"/>
      <c r="D117" s="334"/>
      <c r="E117" s="342"/>
      <c r="F117" s="342"/>
      <c r="G117" s="342"/>
      <c r="H117" s="342"/>
      <c r="I117" s="342"/>
      <c r="J117" s="342"/>
      <c r="K117" s="342"/>
      <c r="L117" s="342"/>
      <c r="M117" s="342"/>
      <c r="N117" s="342"/>
    </row>
    <row r="118" spans="1:14" x14ac:dyDescent="0.15">
      <c r="A118" s="322"/>
      <c r="B118" s="322"/>
      <c r="C118" s="322"/>
      <c r="D118" s="322"/>
      <c r="E118" s="322"/>
      <c r="F118" s="322"/>
      <c r="G118" s="322"/>
      <c r="H118" s="322"/>
      <c r="I118" s="322"/>
      <c r="J118" s="322"/>
      <c r="K118" s="322"/>
      <c r="L118" s="322"/>
      <c r="M118" s="322"/>
      <c r="N118" s="322"/>
    </row>
    <row r="119" spans="1:14" x14ac:dyDescent="0.15">
      <c r="A119" s="322"/>
      <c r="B119" s="322"/>
      <c r="C119" s="322"/>
      <c r="D119" s="322"/>
      <c r="E119" s="353"/>
      <c r="F119" s="353"/>
      <c r="G119" s="353"/>
      <c r="H119" s="353"/>
      <c r="I119" s="353"/>
      <c r="J119" s="353"/>
      <c r="K119" s="353"/>
      <c r="L119" s="353"/>
      <c r="M119" s="353"/>
      <c r="N119" s="353"/>
    </row>
    <row r="120" spans="1:14" x14ac:dyDescent="0.15">
      <c r="A120" s="322"/>
      <c r="B120" s="322"/>
      <c r="C120" s="322"/>
      <c r="D120" s="322"/>
      <c r="E120" s="322"/>
      <c r="F120" s="322"/>
      <c r="G120" s="322"/>
      <c r="H120" s="322"/>
      <c r="I120" s="322"/>
      <c r="J120" s="322"/>
      <c r="K120" s="322"/>
      <c r="L120" s="322"/>
      <c r="M120" s="322"/>
      <c r="N120" s="322"/>
    </row>
    <row r="121" spans="1:14" x14ac:dyDescent="0.15">
      <c r="A121" s="334"/>
      <c r="B121" s="334"/>
      <c r="C121" s="334"/>
      <c r="D121" s="334"/>
      <c r="E121" s="342"/>
      <c r="F121" s="342"/>
      <c r="G121" s="342"/>
      <c r="H121" s="342"/>
      <c r="I121" s="342"/>
      <c r="J121" s="342"/>
      <c r="K121" s="342"/>
      <c r="L121" s="342"/>
      <c r="M121" s="342"/>
      <c r="N121" s="342"/>
    </row>
    <row r="122" spans="1:14" x14ac:dyDescent="0.15">
      <c r="A122" s="322"/>
      <c r="B122" s="322"/>
      <c r="C122" s="322"/>
      <c r="D122" s="322"/>
      <c r="E122" s="322"/>
      <c r="F122" s="322"/>
      <c r="G122" s="322"/>
      <c r="H122" s="322"/>
      <c r="I122" s="322"/>
      <c r="J122" s="322"/>
      <c r="K122" s="322"/>
      <c r="L122" s="322"/>
      <c r="M122" s="322"/>
      <c r="N122" s="322"/>
    </row>
    <row r="123" spans="1:14" x14ac:dyDescent="0.15">
      <c r="A123" s="322"/>
      <c r="B123" s="358"/>
      <c r="C123" s="358"/>
      <c r="D123" s="358"/>
      <c r="E123" s="353"/>
      <c r="F123" s="353"/>
      <c r="G123" s="353"/>
      <c r="H123" s="353"/>
      <c r="I123" s="353"/>
      <c r="J123" s="353"/>
      <c r="K123" s="353"/>
      <c r="L123" s="353"/>
      <c r="M123" s="353"/>
      <c r="N123" s="353"/>
    </row>
    <row r="124" spans="1:14" x14ac:dyDescent="0.15">
      <c r="A124" s="322"/>
      <c r="B124" s="322"/>
      <c r="C124" s="322"/>
      <c r="D124" s="322"/>
      <c r="E124" s="322"/>
      <c r="F124" s="322"/>
      <c r="G124" s="322"/>
      <c r="H124" s="322"/>
      <c r="I124" s="322"/>
      <c r="J124" s="322"/>
      <c r="K124" s="322"/>
      <c r="L124" s="322"/>
      <c r="M124" s="322"/>
      <c r="N124" s="322"/>
    </row>
    <row r="125" spans="1:14" x14ac:dyDescent="0.15">
      <c r="A125" s="356"/>
      <c r="B125" s="356"/>
      <c r="C125" s="356"/>
      <c r="D125" s="356"/>
      <c r="E125" s="359"/>
      <c r="F125" s="359"/>
      <c r="G125" s="359"/>
      <c r="H125" s="359"/>
      <c r="I125" s="359"/>
      <c r="J125" s="359"/>
      <c r="K125" s="359"/>
      <c r="L125" s="359"/>
      <c r="M125" s="359"/>
      <c r="N125" s="359"/>
    </row>
    <row r="127" spans="1:14" x14ac:dyDescent="0.15">
      <c r="A127" s="351"/>
      <c r="B127" s="352"/>
      <c r="C127" s="352"/>
      <c r="D127" s="352"/>
      <c r="E127" s="352"/>
      <c r="F127" s="352"/>
      <c r="G127" s="352"/>
      <c r="H127" s="352"/>
      <c r="I127" s="352"/>
      <c r="J127" s="352"/>
      <c r="K127" s="352"/>
      <c r="L127" s="352"/>
      <c r="M127" s="352"/>
      <c r="N127" s="352"/>
    </row>
    <row r="128" spans="1:14" x14ac:dyDescent="0.15">
      <c r="A128" s="322"/>
      <c r="B128" s="322"/>
      <c r="C128" s="322"/>
      <c r="D128" s="322"/>
      <c r="E128" s="322"/>
      <c r="F128" s="322"/>
      <c r="G128" s="322"/>
      <c r="H128" s="322"/>
      <c r="I128" s="322"/>
      <c r="J128" s="322"/>
      <c r="K128" s="322"/>
      <c r="L128" s="322"/>
      <c r="M128" s="322"/>
      <c r="N128" s="322"/>
    </row>
    <row r="129" spans="1:14" x14ac:dyDescent="0.15">
      <c r="A129" s="322"/>
      <c r="B129" s="322"/>
      <c r="C129" s="322"/>
      <c r="D129" s="322"/>
      <c r="E129" s="353"/>
      <c r="F129" s="353"/>
      <c r="G129" s="353"/>
      <c r="H129" s="353"/>
      <c r="I129" s="353"/>
      <c r="J129" s="353"/>
      <c r="K129" s="353"/>
      <c r="L129" s="353"/>
      <c r="M129" s="353"/>
      <c r="N129" s="353"/>
    </row>
    <row r="130" spans="1:14" x14ac:dyDescent="0.15">
      <c r="A130" s="322"/>
      <c r="B130" s="322"/>
      <c r="C130" s="322"/>
      <c r="D130" s="322"/>
      <c r="E130" s="322"/>
      <c r="F130" s="322"/>
      <c r="G130" s="322"/>
      <c r="H130" s="322"/>
      <c r="I130" s="322"/>
      <c r="J130" s="322"/>
      <c r="K130" s="322"/>
      <c r="L130" s="322"/>
      <c r="M130" s="322"/>
      <c r="N130" s="322"/>
    </row>
    <row r="131" spans="1:14" x14ac:dyDescent="0.15">
      <c r="A131" s="334"/>
      <c r="B131" s="334"/>
      <c r="C131" s="334"/>
      <c r="D131" s="334"/>
      <c r="E131" s="342"/>
      <c r="F131" s="342"/>
      <c r="G131" s="342"/>
      <c r="H131" s="342"/>
      <c r="I131" s="342"/>
      <c r="J131" s="342"/>
      <c r="K131" s="342"/>
      <c r="L131" s="342"/>
      <c r="M131" s="342"/>
      <c r="N131" s="342"/>
    </row>
    <row r="132" spans="1:14" x14ac:dyDescent="0.15">
      <c r="A132" s="322"/>
      <c r="B132" s="322"/>
      <c r="C132" s="322"/>
      <c r="D132" s="322"/>
      <c r="E132" s="322"/>
      <c r="F132" s="322"/>
      <c r="G132" s="322"/>
      <c r="H132" s="322"/>
      <c r="I132" s="322"/>
      <c r="J132" s="322"/>
      <c r="K132" s="322"/>
      <c r="L132" s="322"/>
      <c r="M132" s="322"/>
      <c r="N132" s="322"/>
    </row>
    <row r="133" spans="1:14" x14ac:dyDescent="0.15">
      <c r="A133" s="322"/>
      <c r="B133" s="322"/>
      <c r="C133" s="322"/>
      <c r="D133" s="322"/>
      <c r="E133" s="353"/>
      <c r="F133" s="353"/>
      <c r="G133" s="353"/>
      <c r="H133" s="353"/>
      <c r="I133" s="353"/>
      <c r="J133" s="353"/>
      <c r="K133" s="353"/>
      <c r="L133" s="353"/>
      <c r="M133" s="353"/>
      <c r="N133" s="353"/>
    </row>
    <row r="134" spans="1:14" x14ac:dyDescent="0.15">
      <c r="A134" s="354"/>
      <c r="B134" s="322"/>
      <c r="C134" s="322"/>
      <c r="D134" s="322"/>
      <c r="E134" s="355"/>
      <c r="F134" s="355"/>
      <c r="G134" s="355"/>
      <c r="H134" s="355"/>
      <c r="I134" s="355"/>
      <c r="J134" s="355"/>
      <c r="K134" s="355"/>
      <c r="L134" s="355"/>
      <c r="M134" s="355"/>
      <c r="N134" s="355"/>
    </row>
    <row r="135" spans="1:14" x14ac:dyDescent="0.15">
      <c r="A135" s="354"/>
      <c r="B135" s="322"/>
      <c r="C135" s="322"/>
      <c r="D135" s="322"/>
      <c r="E135" s="355"/>
      <c r="F135" s="355"/>
      <c r="G135" s="355"/>
      <c r="H135" s="355"/>
      <c r="I135" s="355"/>
      <c r="J135" s="355"/>
      <c r="K135" s="355"/>
      <c r="L135" s="355"/>
      <c r="M135" s="355"/>
      <c r="N135" s="355"/>
    </row>
    <row r="136" spans="1:14" x14ac:dyDescent="0.15">
      <c r="A136" s="322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</row>
    <row r="137" spans="1:14" x14ac:dyDescent="0.15">
      <c r="A137" s="322"/>
      <c r="B137" s="361"/>
      <c r="C137" s="361"/>
      <c r="D137" s="361"/>
      <c r="E137" s="353"/>
      <c r="F137" s="353"/>
      <c r="G137" s="353"/>
      <c r="H137" s="353"/>
      <c r="I137" s="353"/>
      <c r="J137" s="353"/>
      <c r="K137" s="353"/>
      <c r="L137" s="353"/>
      <c r="M137" s="353"/>
      <c r="N137" s="353"/>
    </row>
    <row r="138" spans="1:14" x14ac:dyDescent="0.15">
      <c r="A138" s="322"/>
      <c r="B138" s="322"/>
      <c r="C138" s="322"/>
      <c r="D138" s="322"/>
      <c r="E138" s="322"/>
      <c r="F138" s="322"/>
      <c r="G138" s="322"/>
      <c r="H138" s="322"/>
      <c r="I138" s="322"/>
      <c r="J138" s="322"/>
      <c r="K138" s="322"/>
      <c r="L138" s="322"/>
      <c r="M138" s="322"/>
      <c r="N138" s="322"/>
    </row>
    <row r="139" spans="1:14" x14ac:dyDescent="0.15">
      <c r="A139" s="334"/>
      <c r="B139" s="334"/>
      <c r="C139" s="334"/>
      <c r="D139" s="334"/>
      <c r="E139" s="342"/>
      <c r="F139" s="342"/>
      <c r="G139" s="342"/>
      <c r="H139" s="342"/>
      <c r="I139" s="342"/>
      <c r="J139" s="342"/>
      <c r="K139" s="342"/>
      <c r="L139" s="342"/>
      <c r="M139" s="342"/>
      <c r="N139" s="342"/>
    </row>
    <row r="140" spans="1:14" x14ac:dyDescent="0.15">
      <c r="A140" s="322"/>
      <c r="B140" s="322"/>
      <c r="C140" s="322"/>
      <c r="D140" s="322"/>
      <c r="E140" s="322"/>
      <c r="F140" s="322"/>
      <c r="G140" s="322"/>
      <c r="H140" s="322"/>
      <c r="I140" s="322"/>
      <c r="J140" s="322"/>
      <c r="K140" s="322"/>
      <c r="L140" s="322"/>
      <c r="M140" s="322"/>
      <c r="N140" s="322"/>
    </row>
    <row r="141" spans="1:14" x14ac:dyDescent="0.15">
      <c r="A141" s="356"/>
      <c r="B141" s="356"/>
      <c r="C141" s="356"/>
      <c r="D141" s="356"/>
      <c r="E141" s="357"/>
      <c r="F141" s="357"/>
      <c r="G141" s="357"/>
      <c r="H141" s="357"/>
      <c r="I141" s="357"/>
      <c r="J141" s="357"/>
      <c r="K141" s="357"/>
      <c r="L141" s="357"/>
      <c r="M141" s="357"/>
      <c r="N141" s="357"/>
    </row>
    <row r="142" spans="1:14" x14ac:dyDescent="0.15">
      <c r="A142" s="322"/>
      <c r="B142" s="322"/>
      <c r="C142" s="322"/>
      <c r="D142" s="322"/>
      <c r="E142" s="322"/>
      <c r="F142" s="322"/>
      <c r="G142" s="322"/>
      <c r="H142" s="322"/>
      <c r="I142" s="322"/>
      <c r="J142" s="322"/>
      <c r="K142" s="322"/>
      <c r="L142" s="322"/>
      <c r="M142" s="322"/>
      <c r="N142" s="322"/>
    </row>
    <row r="143" spans="1:14" x14ac:dyDescent="0.15">
      <c r="A143" s="322"/>
      <c r="B143" s="322"/>
      <c r="C143" s="322"/>
      <c r="D143" s="322"/>
      <c r="E143" s="333"/>
      <c r="F143" s="333"/>
      <c r="G143" s="333"/>
      <c r="H143" s="333"/>
      <c r="I143" s="333"/>
      <c r="J143" s="333"/>
      <c r="K143" s="333"/>
      <c r="L143" s="333"/>
      <c r="M143" s="333"/>
      <c r="N143" s="333"/>
    </row>
    <row r="144" spans="1:14" x14ac:dyDescent="0.15">
      <c r="A144" s="322"/>
      <c r="B144" s="322"/>
      <c r="C144" s="322"/>
      <c r="D144" s="322"/>
      <c r="E144" s="322"/>
      <c r="F144" s="322"/>
      <c r="G144" s="322"/>
      <c r="H144" s="322"/>
      <c r="I144" s="322"/>
      <c r="J144" s="322"/>
      <c r="K144" s="322"/>
      <c r="L144" s="322"/>
      <c r="M144" s="322"/>
      <c r="N144" s="322"/>
    </row>
    <row r="145" spans="1:14" x14ac:dyDescent="0.15">
      <c r="A145" s="334"/>
      <c r="B145" s="334"/>
      <c r="C145" s="334"/>
      <c r="D145" s="334"/>
      <c r="E145" s="342"/>
      <c r="F145" s="342"/>
      <c r="G145" s="342"/>
      <c r="H145" s="342"/>
      <c r="I145" s="342"/>
      <c r="J145" s="342"/>
      <c r="K145" s="342"/>
      <c r="L145" s="342"/>
      <c r="M145" s="342"/>
      <c r="N145" s="342"/>
    </row>
    <row r="146" spans="1:14" x14ac:dyDescent="0.15">
      <c r="A146" s="322"/>
      <c r="B146" s="322"/>
      <c r="C146" s="322"/>
      <c r="D146" s="322"/>
      <c r="E146" s="322"/>
      <c r="F146" s="322"/>
      <c r="G146" s="322"/>
      <c r="H146" s="322"/>
      <c r="I146" s="322"/>
      <c r="J146" s="322"/>
      <c r="K146" s="322"/>
      <c r="L146" s="322"/>
      <c r="M146" s="322"/>
      <c r="N146" s="322"/>
    </row>
    <row r="147" spans="1:14" x14ac:dyDescent="0.15">
      <c r="A147" s="322"/>
      <c r="B147" s="322"/>
      <c r="C147" s="322"/>
      <c r="D147" s="322"/>
      <c r="E147" s="353"/>
      <c r="F147" s="353"/>
      <c r="G147" s="353"/>
      <c r="H147" s="353"/>
      <c r="I147" s="353"/>
      <c r="J147" s="353"/>
      <c r="K147" s="353"/>
      <c r="L147" s="353"/>
      <c r="M147" s="353"/>
      <c r="N147" s="353"/>
    </row>
    <row r="148" spans="1:14" x14ac:dyDescent="0.15">
      <c r="A148" s="322"/>
      <c r="B148" s="322"/>
      <c r="C148" s="322"/>
      <c r="D148" s="322"/>
      <c r="E148" s="322"/>
      <c r="F148" s="322"/>
      <c r="G148" s="322"/>
      <c r="H148" s="322"/>
      <c r="I148" s="322"/>
      <c r="J148" s="322"/>
      <c r="K148" s="322"/>
      <c r="L148" s="322"/>
      <c r="M148" s="322"/>
      <c r="N148" s="322"/>
    </row>
    <row r="149" spans="1:14" x14ac:dyDescent="0.15">
      <c r="A149" s="334"/>
      <c r="B149" s="334"/>
      <c r="C149" s="334"/>
      <c r="D149" s="334"/>
      <c r="E149" s="342"/>
      <c r="F149" s="342"/>
      <c r="G149" s="342"/>
      <c r="H149" s="342"/>
      <c r="I149" s="342"/>
      <c r="J149" s="342"/>
      <c r="K149" s="342"/>
      <c r="L149" s="342"/>
      <c r="M149" s="342"/>
      <c r="N149" s="342"/>
    </row>
    <row r="150" spans="1:14" x14ac:dyDescent="0.15">
      <c r="A150" s="322"/>
      <c r="B150" s="322"/>
      <c r="C150" s="322"/>
      <c r="D150" s="322"/>
      <c r="E150" s="322"/>
      <c r="F150" s="322"/>
      <c r="G150" s="322"/>
      <c r="H150" s="322"/>
      <c r="I150" s="322"/>
      <c r="J150" s="322"/>
      <c r="K150" s="322"/>
      <c r="L150" s="322"/>
      <c r="M150" s="322"/>
      <c r="N150" s="322"/>
    </row>
    <row r="151" spans="1:14" x14ac:dyDescent="0.15">
      <c r="A151" s="322"/>
      <c r="B151" s="358"/>
      <c r="C151" s="358"/>
      <c r="D151" s="358"/>
      <c r="E151" s="353"/>
      <c r="F151" s="353"/>
      <c r="G151" s="353"/>
      <c r="H151" s="353"/>
      <c r="I151" s="353"/>
      <c r="J151" s="353"/>
      <c r="K151" s="353"/>
      <c r="L151" s="353"/>
      <c r="M151" s="353"/>
      <c r="N151" s="353"/>
    </row>
    <row r="152" spans="1:14" x14ac:dyDescent="0.15">
      <c r="A152" s="322"/>
      <c r="B152" s="322"/>
      <c r="C152" s="322"/>
      <c r="D152" s="322"/>
      <c r="E152" s="322"/>
      <c r="F152" s="322"/>
      <c r="G152" s="322"/>
      <c r="H152" s="322"/>
      <c r="I152" s="322"/>
      <c r="J152" s="322"/>
      <c r="K152" s="322"/>
      <c r="L152" s="322"/>
      <c r="M152" s="322"/>
      <c r="N152" s="322"/>
    </row>
    <row r="153" spans="1:14" x14ac:dyDescent="0.15">
      <c r="A153" s="356"/>
      <c r="B153" s="356"/>
      <c r="C153" s="356"/>
      <c r="D153" s="356"/>
      <c r="E153" s="359"/>
      <c r="F153" s="359"/>
      <c r="G153" s="359"/>
      <c r="H153" s="359"/>
      <c r="I153" s="359"/>
      <c r="J153" s="359"/>
      <c r="K153" s="359"/>
      <c r="L153" s="359"/>
      <c r="M153" s="359"/>
      <c r="N153" s="359"/>
    </row>
    <row r="155" spans="1:14" x14ac:dyDescent="0.15">
      <c r="A155" s="351"/>
      <c r="B155" s="352"/>
      <c r="C155" s="352"/>
      <c r="D155" s="352"/>
      <c r="E155" s="352"/>
      <c r="F155" s="352"/>
      <c r="G155" s="352"/>
      <c r="H155" s="352"/>
      <c r="I155" s="352"/>
      <c r="J155" s="352"/>
      <c r="K155" s="352"/>
      <c r="L155" s="352"/>
      <c r="M155" s="352"/>
      <c r="N155" s="352"/>
    </row>
    <row r="157" spans="1:14" x14ac:dyDescent="0.15">
      <c r="A157" s="322"/>
      <c r="E157" s="353"/>
      <c r="F157" s="353"/>
      <c r="G157" s="353"/>
      <c r="H157" s="353"/>
      <c r="I157" s="353"/>
      <c r="J157" s="353"/>
      <c r="K157" s="353"/>
      <c r="L157" s="353"/>
      <c r="M157" s="353"/>
      <c r="N157" s="353"/>
    </row>
    <row r="158" spans="1:14" x14ac:dyDescent="0.15">
      <c r="A158" s="354"/>
      <c r="B158" s="322"/>
      <c r="C158" s="322"/>
      <c r="D158" s="322"/>
      <c r="E158" s="355"/>
      <c r="F158" s="355"/>
      <c r="G158" s="355"/>
      <c r="H158" s="355"/>
      <c r="I158" s="355"/>
      <c r="J158" s="355"/>
      <c r="K158" s="355"/>
      <c r="L158" s="355"/>
      <c r="M158" s="355"/>
      <c r="N158" s="355"/>
    </row>
    <row r="159" spans="1:14" x14ac:dyDescent="0.15">
      <c r="A159" s="354"/>
      <c r="B159" s="322"/>
      <c r="C159" s="322"/>
      <c r="D159" s="322"/>
      <c r="E159" s="355"/>
      <c r="F159" s="355"/>
      <c r="G159" s="355"/>
      <c r="H159" s="355"/>
      <c r="I159" s="355"/>
      <c r="J159" s="355"/>
      <c r="K159" s="355"/>
      <c r="L159" s="355"/>
      <c r="M159" s="355"/>
      <c r="N159" s="355"/>
    </row>
    <row r="160" spans="1:14" x14ac:dyDescent="0.15">
      <c r="A160" s="354"/>
      <c r="B160" s="322"/>
      <c r="C160" s="322"/>
      <c r="D160" s="322"/>
      <c r="E160" s="355"/>
      <c r="F160" s="355"/>
      <c r="G160" s="355"/>
      <c r="H160" s="355"/>
      <c r="I160" s="355"/>
      <c r="J160" s="355"/>
      <c r="K160" s="355"/>
      <c r="L160" s="355"/>
      <c r="M160" s="355"/>
      <c r="N160" s="355"/>
    </row>
    <row r="162" spans="1:14" x14ac:dyDescent="0.15">
      <c r="A162" s="356"/>
      <c r="B162" s="356"/>
      <c r="C162" s="356"/>
      <c r="D162" s="356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</row>
    <row r="164" spans="1:14" x14ac:dyDescent="0.15">
      <c r="A164" s="322"/>
      <c r="E164" s="332"/>
      <c r="F164" s="332"/>
      <c r="G164" s="332"/>
      <c r="H164" s="332"/>
      <c r="I164" s="332"/>
      <c r="J164" s="332"/>
      <c r="K164" s="332"/>
      <c r="L164" s="332"/>
      <c r="M164" s="332"/>
      <c r="N164" s="332"/>
    </row>
    <row r="166" spans="1:14" x14ac:dyDescent="0.15">
      <c r="A166" s="334"/>
      <c r="B166" s="334"/>
      <c r="C166" s="334"/>
      <c r="D166" s="334"/>
      <c r="E166" s="342"/>
      <c r="F166" s="342"/>
      <c r="G166" s="342"/>
      <c r="H166" s="342"/>
      <c r="I166" s="342"/>
      <c r="J166" s="342"/>
      <c r="K166" s="342"/>
      <c r="L166" s="342"/>
      <c r="M166" s="342"/>
      <c r="N166" s="342"/>
    </row>
    <row r="168" spans="1:14" x14ac:dyDescent="0.15">
      <c r="A168" s="322"/>
      <c r="E168" s="332"/>
      <c r="F168" s="332"/>
      <c r="G168" s="332"/>
      <c r="H168" s="332"/>
      <c r="I168" s="332"/>
      <c r="J168" s="332"/>
      <c r="K168" s="332"/>
      <c r="L168" s="332"/>
      <c r="M168" s="332"/>
      <c r="N168" s="332"/>
    </row>
    <row r="170" spans="1:14" x14ac:dyDescent="0.15">
      <c r="A170" s="334"/>
      <c r="B170" s="334"/>
      <c r="C170" s="334"/>
      <c r="D170" s="334"/>
      <c r="E170" s="342"/>
      <c r="F170" s="342"/>
      <c r="G170" s="342"/>
      <c r="H170" s="342"/>
      <c r="I170" s="342"/>
      <c r="J170" s="342"/>
      <c r="K170" s="342"/>
      <c r="L170" s="342"/>
      <c r="M170" s="342"/>
      <c r="N170" s="342"/>
    </row>
    <row r="172" spans="1:14" x14ac:dyDescent="0.15">
      <c r="A172" s="322"/>
      <c r="B172" s="331"/>
      <c r="C172" s="331"/>
      <c r="D172" s="331"/>
      <c r="E172" s="353"/>
      <c r="F172" s="353"/>
      <c r="G172" s="353"/>
      <c r="H172" s="353"/>
      <c r="I172" s="353"/>
      <c r="J172" s="353"/>
      <c r="K172" s="353"/>
      <c r="L172" s="353"/>
      <c r="M172" s="353"/>
      <c r="N172" s="353"/>
    </row>
    <row r="174" spans="1:14" x14ac:dyDescent="0.15">
      <c r="A174" s="356"/>
      <c r="B174" s="356"/>
      <c r="C174" s="356"/>
      <c r="D174" s="356"/>
      <c r="E174" s="359"/>
      <c r="F174" s="359"/>
      <c r="G174" s="359"/>
      <c r="H174" s="359"/>
      <c r="I174" s="359"/>
      <c r="J174" s="359"/>
      <c r="K174" s="359"/>
      <c r="L174" s="359"/>
      <c r="M174" s="359"/>
      <c r="N174" s="359"/>
    </row>
  </sheetData>
  <pageMargins left="0.7" right="0.7" top="0.75" bottom="0.75" header="0.3" footer="0.3"/>
  <pageSetup paperSize="9"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Masterplan</vt:lpstr>
      <vt:lpstr>B Case Gral</vt:lpstr>
      <vt:lpstr>EERR</vt:lpstr>
      <vt:lpstr>Balance</vt:lpstr>
      <vt:lpstr>'B Case Gral'!Print_Area</vt:lpstr>
      <vt:lpstr>EERR!Print_Area</vt:lpstr>
      <vt:lpstr>Masterplan!Print_Area</vt:lpstr>
    </vt:vector>
  </TitlesOfParts>
  <Company>arielk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Adiaz</dc:creator>
  <cp:lastModifiedBy>Agustín Kluz</cp:lastModifiedBy>
  <cp:lastPrinted>2020-07-03T05:23:17Z</cp:lastPrinted>
  <dcterms:created xsi:type="dcterms:W3CDTF">2009-11-10T20:08:21Z</dcterms:created>
  <dcterms:modified xsi:type="dcterms:W3CDTF">2020-07-03T22:47:57Z</dcterms:modified>
</cp:coreProperties>
</file>