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Maciel\Desktop\Presentar\"/>
    </mc:Choice>
  </mc:AlternateContent>
  <xr:revisionPtr revIDLastSave="0" documentId="13_ncr:1_{83592B0A-610B-4135-AA5D-7EBA6AA1B1E5}" xr6:coauthVersionLast="44" xr6:coauthVersionMax="44" xr10:uidLastSave="{00000000-0000-0000-0000-000000000000}"/>
  <bookViews>
    <workbookView xWindow="-120" yWindow="-120" windowWidth="20730" windowHeight="11160" activeTab="1" xr2:uid="{E768BABE-FE96-43CD-BC48-477D05227C25}"/>
  </bookViews>
  <sheets>
    <sheet name="Inputs" sheetId="4" r:id="rId1"/>
    <sheet name="Proyeccion Financiera" sheetId="3" r:id="rId2"/>
    <sheet name="Escenario 1" sheetId="12" r:id="rId3"/>
    <sheet name="Escenario 2" sheetId="13" r:id="rId4"/>
  </sheets>
  <externalReferences>
    <externalReference r:id="rId5"/>
  </externalReferences>
  <definedNames>
    <definedName name="_ftn1" localSheetId="2">#REF!</definedName>
    <definedName name="_ftn1" localSheetId="3">#REF!</definedName>
    <definedName name="_ftn1" localSheetId="1">#REF!</definedName>
    <definedName name="_ftnref1" localSheetId="2">#REF!</definedName>
    <definedName name="_ftnref1" localSheetId="3">#REF!</definedName>
    <definedName name="_ftnref1" localSheetId="1">#REF!</definedName>
    <definedName name="Google_Sheet_Link_179111937_205421769" localSheetId="2" hidden="1">[0]!_ftn1</definedName>
    <definedName name="Google_Sheet_Link_179111937_205421769" localSheetId="3" hidden="1">'Escenario 1'!_ftn1</definedName>
    <definedName name="Google_Sheet_Link_179111937_205421769" localSheetId="1" hidden="1">'Escenario 1'!_ftn1</definedName>
    <definedName name="Google_Sheet_Link_179111937_205421769" hidden="1">'Escenario 1'!_ftn1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7" i="13" l="1"/>
  <c r="C117" i="12"/>
  <c r="D126" i="13" l="1"/>
  <c r="D125" i="13"/>
  <c r="I114" i="13"/>
  <c r="H99" i="13"/>
  <c r="G99" i="13"/>
  <c r="F99" i="13"/>
  <c r="E99" i="13"/>
  <c r="D99" i="13"/>
  <c r="H98" i="13"/>
  <c r="G98" i="13"/>
  <c r="I98" i="13" s="1"/>
  <c r="F98" i="13"/>
  <c r="H97" i="13"/>
  <c r="G97" i="13"/>
  <c r="F97" i="13"/>
  <c r="E97" i="13"/>
  <c r="D97" i="13"/>
  <c r="H96" i="13"/>
  <c r="G96" i="13"/>
  <c r="I96" i="13" s="1"/>
  <c r="H95" i="13"/>
  <c r="G95" i="13"/>
  <c r="F95" i="13"/>
  <c r="E95" i="13"/>
  <c r="H94" i="13"/>
  <c r="G94" i="13"/>
  <c r="F94" i="13"/>
  <c r="E94" i="13"/>
  <c r="D94" i="13"/>
  <c r="H93" i="13"/>
  <c r="H91" i="13" s="1"/>
  <c r="G93" i="13"/>
  <c r="F93" i="13"/>
  <c r="E93" i="13"/>
  <c r="D93" i="13"/>
  <c r="D91" i="13" s="1"/>
  <c r="H92" i="13"/>
  <c r="G92" i="13"/>
  <c r="F92" i="13"/>
  <c r="E92" i="13"/>
  <c r="D92" i="13"/>
  <c r="N89" i="13"/>
  <c r="M89" i="13"/>
  <c r="L89" i="13"/>
  <c r="K89" i="13"/>
  <c r="I89" i="13"/>
  <c r="N88" i="13"/>
  <c r="M88" i="13"/>
  <c r="L88" i="13"/>
  <c r="K88" i="13"/>
  <c r="I88" i="13"/>
  <c r="N87" i="13"/>
  <c r="M87" i="13"/>
  <c r="L87" i="13"/>
  <c r="K87" i="13"/>
  <c r="I87" i="13"/>
  <c r="N86" i="13"/>
  <c r="M86" i="13"/>
  <c r="L86" i="13"/>
  <c r="K86" i="13"/>
  <c r="I86" i="13"/>
  <c r="N85" i="13"/>
  <c r="M85" i="13"/>
  <c r="L85" i="13"/>
  <c r="K85" i="13"/>
  <c r="I85" i="13"/>
  <c r="N84" i="13"/>
  <c r="M84" i="13"/>
  <c r="L84" i="13"/>
  <c r="K84" i="13"/>
  <c r="I84" i="13"/>
  <c r="N83" i="13"/>
  <c r="M83" i="13"/>
  <c r="L83" i="13"/>
  <c r="K83" i="13"/>
  <c r="I83" i="13"/>
  <c r="N82" i="13"/>
  <c r="M82" i="13"/>
  <c r="L82" i="13"/>
  <c r="K82" i="13"/>
  <c r="I82" i="13"/>
  <c r="N81" i="13"/>
  <c r="M81" i="13"/>
  <c r="L81" i="13"/>
  <c r="K81" i="13"/>
  <c r="I81" i="13"/>
  <c r="H80" i="13"/>
  <c r="N80" i="13" s="1"/>
  <c r="G80" i="13"/>
  <c r="G116" i="13" s="1"/>
  <c r="F80" i="13"/>
  <c r="L80" i="13" s="1"/>
  <c r="E80" i="13"/>
  <c r="D80" i="13"/>
  <c r="C80" i="13"/>
  <c r="L65" i="13"/>
  <c r="K65" i="13"/>
  <c r="L64" i="13"/>
  <c r="K64" i="13"/>
  <c r="E23" i="13"/>
  <c r="F23" i="13" s="1"/>
  <c r="G23" i="13" s="1"/>
  <c r="H23" i="13" s="1"/>
  <c r="E22" i="13"/>
  <c r="F22" i="13" s="1"/>
  <c r="G22" i="13" s="1"/>
  <c r="H22" i="13" s="1"/>
  <c r="C15" i="13"/>
  <c r="D15" i="13" s="1"/>
  <c r="G7" i="13"/>
  <c r="F7" i="13"/>
  <c r="E7" i="13"/>
  <c r="D7" i="13"/>
  <c r="G6" i="13"/>
  <c r="F6" i="13"/>
  <c r="E6" i="13"/>
  <c r="H5" i="13"/>
  <c r="D126" i="12"/>
  <c r="D125" i="12"/>
  <c r="I114" i="12"/>
  <c r="H99" i="12"/>
  <c r="G99" i="12"/>
  <c r="F99" i="12"/>
  <c r="E99" i="12"/>
  <c r="D99" i="12"/>
  <c r="H98" i="12"/>
  <c r="G98" i="12"/>
  <c r="F98" i="12"/>
  <c r="H97" i="12"/>
  <c r="G97" i="12"/>
  <c r="F97" i="12"/>
  <c r="E97" i="12"/>
  <c r="D97" i="12"/>
  <c r="H96" i="12"/>
  <c r="G96" i="12"/>
  <c r="H95" i="12"/>
  <c r="G95" i="12"/>
  <c r="F95" i="12"/>
  <c r="E95" i="12"/>
  <c r="H94" i="12"/>
  <c r="G94" i="12"/>
  <c r="F94" i="12"/>
  <c r="E94" i="12"/>
  <c r="D94" i="12"/>
  <c r="H93" i="12"/>
  <c r="G93" i="12"/>
  <c r="F93" i="12"/>
  <c r="E93" i="12"/>
  <c r="D93" i="12"/>
  <c r="H92" i="12"/>
  <c r="G92" i="12"/>
  <c r="F92" i="12"/>
  <c r="E92" i="12"/>
  <c r="D92" i="12"/>
  <c r="N89" i="12"/>
  <c r="M89" i="12"/>
  <c r="L89" i="12"/>
  <c r="K89" i="12"/>
  <c r="I89" i="12"/>
  <c r="N88" i="12"/>
  <c r="M88" i="12"/>
  <c r="L88" i="12"/>
  <c r="K88" i="12"/>
  <c r="I88" i="12"/>
  <c r="N87" i="12"/>
  <c r="M87" i="12"/>
  <c r="L87" i="12"/>
  <c r="K87" i="12"/>
  <c r="I87" i="12"/>
  <c r="N86" i="12"/>
  <c r="M86" i="12"/>
  <c r="L86" i="12"/>
  <c r="K86" i="12"/>
  <c r="I86" i="12"/>
  <c r="N85" i="12"/>
  <c r="M85" i="12"/>
  <c r="L85" i="12"/>
  <c r="K85" i="12"/>
  <c r="I85" i="12"/>
  <c r="N84" i="12"/>
  <c r="M84" i="12"/>
  <c r="L84" i="12"/>
  <c r="K84" i="12"/>
  <c r="I84" i="12"/>
  <c r="N83" i="12"/>
  <c r="M83" i="12"/>
  <c r="L83" i="12"/>
  <c r="K83" i="12"/>
  <c r="I83" i="12"/>
  <c r="N82" i="12"/>
  <c r="M82" i="12"/>
  <c r="L82" i="12"/>
  <c r="K82" i="12"/>
  <c r="I82" i="12"/>
  <c r="N81" i="12"/>
  <c r="M81" i="12"/>
  <c r="L81" i="12"/>
  <c r="K81" i="12"/>
  <c r="I81" i="12"/>
  <c r="H80" i="12"/>
  <c r="H116" i="12" s="1"/>
  <c r="G80" i="12"/>
  <c r="G116" i="12" s="1"/>
  <c r="F80" i="12"/>
  <c r="E80" i="12"/>
  <c r="E116" i="12" s="1"/>
  <c r="D80" i="12"/>
  <c r="D116" i="12" s="1"/>
  <c r="C80" i="12"/>
  <c r="C119" i="12" s="1"/>
  <c r="L65" i="12"/>
  <c r="K65" i="12"/>
  <c r="L64" i="12"/>
  <c r="K64" i="12"/>
  <c r="E23" i="12"/>
  <c r="F23" i="12" s="1"/>
  <c r="G23" i="12" s="1"/>
  <c r="H23" i="12" s="1"/>
  <c r="E22" i="12"/>
  <c r="F22" i="12" s="1"/>
  <c r="G22" i="12" s="1"/>
  <c r="H22" i="12" s="1"/>
  <c r="C15" i="12"/>
  <c r="D15" i="12" s="1"/>
  <c r="G7" i="12"/>
  <c r="F7" i="12"/>
  <c r="E7" i="12"/>
  <c r="D7" i="12"/>
  <c r="G6" i="12"/>
  <c r="F6" i="12"/>
  <c r="E6" i="12"/>
  <c r="H5" i="12"/>
  <c r="I5" i="12" s="1"/>
  <c r="I95" i="13" l="1"/>
  <c r="K80" i="13"/>
  <c r="M80" i="13"/>
  <c r="C119" i="13"/>
  <c r="C121" i="13" s="1"/>
  <c r="I93" i="13"/>
  <c r="F91" i="13"/>
  <c r="E91" i="13"/>
  <c r="L91" i="13" s="1"/>
  <c r="I97" i="13"/>
  <c r="I99" i="13"/>
  <c r="H6" i="12"/>
  <c r="E91" i="12"/>
  <c r="I96" i="12"/>
  <c r="I98" i="12"/>
  <c r="K80" i="12"/>
  <c r="I94" i="12"/>
  <c r="G91" i="12"/>
  <c r="F91" i="12"/>
  <c r="I95" i="12"/>
  <c r="H91" i="12"/>
  <c r="I99" i="12"/>
  <c r="K91" i="13"/>
  <c r="D30" i="13"/>
  <c r="D33" i="13"/>
  <c r="E15" i="13"/>
  <c r="D32" i="13"/>
  <c r="H6" i="13"/>
  <c r="I80" i="13"/>
  <c r="I92" i="13"/>
  <c r="E116" i="13"/>
  <c r="I5" i="13"/>
  <c r="H7" i="13"/>
  <c r="D116" i="13"/>
  <c r="H116" i="13"/>
  <c r="G91" i="13"/>
  <c r="N91" i="13" s="1"/>
  <c r="I94" i="13"/>
  <c r="F116" i="13"/>
  <c r="D33" i="12"/>
  <c r="E15" i="12"/>
  <c r="D30" i="12"/>
  <c r="D32" i="12"/>
  <c r="L80" i="12"/>
  <c r="F116" i="12"/>
  <c r="I116" i="12" s="1"/>
  <c r="M80" i="12"/>
  <c r="H7" i="12"/>
  <c r="I92" i="12"/>
  <c r="D91" i="12"/>
  <c r="I93" i="12"/>
  <c r="I97" i="12"/>
  <c r="C121" i="12"/>
  <c r="I80" i="12"/>
  <c r="N80" i="12"/>
  <c r="I116" i="13" l="1"/>
  <c r="L91" i="12"/>
  <c r="M91" i="12"/>
  <c r="N91" i="12"/>
  <c r="M91" i="13"/>
  <c r="D31" i="13"/>
  <c r="E32" i="13"/>
  <c r="E30" i="13"/>
  <c r="F15" i="13"/>
  <c r="E33" i="13"/>
  <c r="I91" i="13"/>
  <c r="D31" i="12"/>
  <c r="E33" i="12"/>
  <c r="F15" i="12"/>
  <c r="E32" i="12"/>
  <c r="E30" i="12"/>
  <c r="I91" i="12"/>
  <c r="K91" i="12"/>
  <c r="G15" i="13" l="1"/>
  <c r="F32" i="13"/>
  <c r="F30" i="13"/>
  <c r="F33" i="13"/>
  <c r="E31" i="13"/>
  <c r="F32" i="12"/>
  <c r="F30" i="12"/>
  <c r="F33" i="12"/>
  <c r="G15" i="12"/>
  <c r="E31" i="12"/>
  <c r="F31" i="13" l="1"/>
  <c r="G33" i="13"/>
  <c r="H15" i="13"/>
  <c r="G30" i="13"/>
  <c r="G32" i="13"/>
  <c r="F31" i="12"/>
  <c r="G32" i="12"/>
  <c r="G30" i="12"/>
  <c r="G33" i="12"/>
  <c r="H15" i="12"/>
  <c r="H32" i="13" l="1"/>
  <c r="H33" i="13"/>
  <c r="I33" i="13" s="1"/>
  <c r="H30" i="13"/>
  <c r="G31" i="13"/>
  <c r="H30" i="12"/>
  <c r="I30" i="12" s="1"/>
  <c r="H33" i="12"/>
  <c r="I33" i="12" s="1"/>
  <c r="H32" i="12"/>
  <c r="G31" i="12"/>
  <c r="I30" i="13" l="1"/>
  <c r="H31" i="13"/>
  <c r="I32" i="13"/>
  <c r="H31" i="12"/>
  <c r="I32" i="12"/>
  <c r="I31" i="13" l="1"/>
  <c r="I31" i="12"/>
  <c r="I66" i="4" l="1"/>
  <c r="I63" i="4"/>
  <c r="J63" i="4"/>
  <c r="J66" i="4" s="1"/>
  <c r="K63" i="4"/>
  <c r="K66" i="4" s="1"/>
  <c r="L63" i="4"/>
  <c r="L66" i="4" s="1"/>
  <c r="I64" i="4"/>
  <c r="I67" i="4" s="1"/>
  <c r="J64" i="4"/>
  <c r="J67" i="4" s="1"/>
  <c r="K64" i="4"/>
  <c r="K67" i="4" s="1"/>
  <c r="L64" i="4"/>
  <c r="L67" i="4" s="1"/>
  <c r="H64" i="4"/>
  <c r="H67" i="4" s="1"/>
  <c r="H63" i="4"/>
  <c r="H66" i="4" s="1"/>
  <c r="K58" i="4"/>
  <c r="J58" i="4"/>
  <c r="I58" i="4"/>
  <c r="H58" i="4"/>
  <c r="K57" i="4"/>
  <c r="J57" i="4"/>
  <c r="I57" i="4"/>
  <c r="L56" i="4"/>
  <c r="L58" i="4" s="1"/>
  <c r="C9" i="4"/>
  <c r="I68" i="4" l="1"/>
  <c r="J68" i="4"/>
  <c r="K68" i="4"/>
  <c r="L68" i="4"/>
  <c r="H68" i="4"/>
  <c r="L57" i="4"/>
  <c r="F94" i="3" l="1"/>
  <c r="G94" i="3"/>
  <c r="H94" i="3"/>
  <c r="H93" i="3"/>
  <c r="G93" i="3"/>
  <c r="F93" i="3"/>
  <c r="E93" i="3"/>
  <c r="D93" i="3"/>
  <c r="N89" i="3"/>
  <c r="M89" i="3"/>
  <c r="L89" i="3"/>
  <c r="K89" i="3"/>
  <c r="N88" i="3"/>
  <c r="M88" i="3"/>
  <c r="L88" i="3"/>
  <c r="K88" i="3"/>
  <c r="N87" i="3"/>
  <c r="M87" i="3"/>
  <c r="L87" i="3"/>
  <c r="K87" i="3"/>
  <c r="N86" i="3"/>
  <c r="M86" i="3"/>
  <c r="L86" i="3"/>
  <c r="K86" i="3"/>
  <c r="N85" i="3"/>
  <c r="M85" i="3"/>
  <c r="L85" i="3"/>
  <c r="K85" i="3"/>
  <c r="N84" i="3"/>
  <c r="M84" i="3"/>
  <c r="L84" i="3"/>
  <c r="K84" i="3"/>
  <c r="N83" i="3"/>
  <c r="M83" i="3"/>
  <c r="L83" i="3"/>
  <c r="K83" i="3"/>
  <c r="N82" i="3"/>
  <c r="M82" i="3"/>
  <c r="L82" i="3"/>
  <c r="K82" i="3"/>
  <c r="N81" i="3"/>
  <c r="M81" i="3"/>
  <c r="L81" i="3"/>
  <c r="K81" i="3"/>
  <c r="I89" i="3"/>
  <c r="I88" i="3"/>
  <c r="I87" i="3"/>
  <c r="I86" i="3"/>
  <c r="I85" i="3"/>
  <c r="I84" i="3"/>
  <c r="I83" i="3"/>
  <c r="I82" i="3"/>
  <c r="I81" i="3"/>
  <c r="H80" i="3"/>
  <c r="H116" i="3" s="1"/>
  <c r="G80" i="3"/>
  <c r="G116" i="3" s="1"/>
  <c r="F80" i="3"/>
  <c r="F116" i="3" s="1"/>
  <c r="E80" i="3"/>
  <c r="E116" i="3" s="1"/>
  <c r="D80" i="3"/>
  <c r="D116" i="3" s="1"/>
  <c r="C80" i="3"/>
  <c r="C117" i="3" s="1"/>
  <c r="L65" i="3"/>
  <c r="K65" i="3"/>
  <c r="L64" i="3"/>
  <c r="K64" i="3"/>
  <c r="M80" i="3" l="1"/>
  <c r="N80" i="3"/>
  <c r="K80" i="3"/>
  <c r="L80" i="3"/>
  <c r="I93" i="3"/>
  <c r="I80" i="3"/>
  <c r="E99" i="3"/>
  <c r="F99" i="3"/>
  <c r="G99" i="3"/>
  <c r="H99" i="3"/>
  <c r="D99" i="3"/>
  <c r="G98" i="3"/>
  <c r="H98" i="3"/>
  <c r="F98" i="3"/>
  <c r="E97" i="3"/>
  <c r="F97" i="3"/>
  <c r="G97" i="3"/>
  <c r="H97" i="3"/>
  <c r="D97" i="3"/>
  <c r="E92" i="3"/>
  <c r="F92" i="3"/>
  <c r="G92" i="3"/>
  <c r="H92" i="3"/>
  <c r="D92" i="3"/>
  <c r="H96" i="3"/>
  <c r="G96" i="3"/>
  <c r="E95" i="3"/>
  <c r="E94" i="3"/>
  <c r="D94" i="3"/>
  <c r="F95" i="3"/>
  <c r="G95" i="3"/>
  <c r="H95" i="3"/>
  <c r="I94" i="3" l="1"/>
  <c r="I96" i="3"/>
  <c r="I92" i="3"/>
  <c r="D91" i="3"/>
  <c r="I95" i="3"/>
  <c r="H91" i="3"/>
  <c r="I97" i="3"/>
  <c r="I99" i="3"/>
  <c r="E91" i="3"/>
  <c r="G91" i="3"/>
  <c r="I98" i="3"/>
  <c r="F91" i="3"/>
  <c r="K91" i="3" l="1"/>
  <c r="M91" i="3"/>
  <c r="N91" i="3"/>
  <c r="L91" i="3"/>
  <c r="I91" i="3"/>
  <c r="H34" i="4"/>
  <c r="I34" i="4" s="1"/>
  <c r="D71" i="13" l="1"/>
  <c r="D71" i="12"/>
  <c r="J34" i="4"/>
  <c r="D71" i="3"/>
  <c r="D70" i="3" s="1"/>
  <c r="H29" i="4"/>
  <c r="I29" i="4" s="1"/>
  <c r="H46" i="4"/>
  <c r="H28" i="4"/>
  <c r="I28" i="4" s="1"/>
  <c r="H31" i="4"/>
  <c r="I31" i="4" s="1"/>
  <c r="H30" i="4"/>
  <c r="I30" i="4" s="1"/>
  <c r="H27" i="4"/>
  <c r="I27" i="4" s="1"/>
  <c r="J27" i="4" s="1"/>
  <c r="H20" i="4"/>
  <c r="H21" i="4"/>
  <c r="J21" i="4" s="1"/>
  <c r="H22" i="4"/>
  <c r="H19" i="4"/>
  <c r="I19" i="4" s="1"/>
  <c r="H5" i="4"/>
  <c r="J5" i="4" s="1"/>
  <c r="H4" i="4"/>
  <c r="N4" i="4" s="1"/>
  <c r="H3" i="4"/>
  <c r="C8" i="4"/>
  <c r="C10" i="4"/>
  <c r="D8" i="4"/>
  <c r="D9" i="4"/>
  <c r="D10" i="4"/>
  <c r="C19" i="4"/>
  <c r="C5" i="4"/>
  <c r="D4" i="4"/>
  <c r="D5" i="4" s="1"/>
  <c r="H7" i="4"/>
  <c r="J7" i="4" s="1"/>
  <c r="H8" i="4"/>
  <c r="J8" i="4" s="1"/>
  <c r="H9" i="4"/>
  <c r="J9" i="4" s="1"/>
  <c r="H10" i="4"/>
  <c r="J10" i="4" s="1"/>
  <c r="H11" i="4"/>
  <c r="J11" i="4" s="1"/>
  <c r="H12" i="4"/>
  <c r="J12" i="4" s="1"/>
  <c r="H13" i="4"/>
  <c r="J13" i="4" s="1"/>
  <c r="H14" i="4"/>
  <c r="J14" i="4" s="1"/>
  <c r="H6" i="4"/>
  <c r="J6" i="4" s="1"/>
  <c r="E23" i="3"/>
  <c r="F23" i="3" s="1"/>
  <c r="G23" i="3" s="1"/>
  <c r="H23" i="3" s="1"/>
  <c r="E22" i="3"/>
  <c r="F22" i="3" s="1"/>
  <c r="G22" i="3" s="1"/>
  <c r="H22" i="3" s="1"/>
  <c r="C15" i="3"/>
  <c r="D15" i="3" s="1"/>
  <c r="E15" i="3" s="1"/>
  <c r="F15" i="3" s="1"/>
  <c r="G15" i="3" s="1"/>
  <c r="H15" i="3" s="1"/>
  <c r="D19" i="4"/>
  <c r="E7" i="3"/>
  <c r="F7" i="3"/>
  <c r="G7" i="3"/>
  <c r="D7" i="3"/>
  <c r="F6" i="3"/>
  <c r="G6" i="3"/>
  <c r="E6" i="3"/>
  <c r="H5" i="3"/>
  <c r="I114" i="3"/>
  <c r="C119" i="3"/>
  <c r="C121" i="3" s="1"/>
  <c r="D125" i="3"/>
  <c r="D126" i="3"/>
  <c r="E59" i="12" l="1"/>
  <c r="E59" i="13"/>
  <c r="D48" i="13"/>
  <c r="D48" i="12"/>
  <c r="D56" i="12"/>
  <c r="D56" i="13"/>
  <c r="D52" i="13"/>
  <c r="D52" i="12"/>
  <c r="C46" i="13"/>
  <c r="C46" i="12"/>
  <c r="D67" i="13"/>
  <c r="D67" i="12"/>
  <c r="G64" i="12"/>
  <c r="G64" i="13"/>
  <c r="E71" i="13"/>
  <c r="E71" i="12"/>
  <c r="D53" i="13"/>
  <c r="D53" i="12"/>
  <c r="D74" i="13"/>
  <c r="D74" i="12"/>
  <c r="D55" i="13"/>
  <c r="D55" i="12"/>
  <c r="D51" i="13"/>
  <c r="D51" i="12"/>
  <c r="E76" i="13"/>
  <c r="E76" i="12"/>
  <c r="D68" i="13"/>
  <c r="D68" i="12"/>
  <c r="D70" i="12"/>
  <c r="D49" i="13"/>
  <c r="D49" i="12"/>
  <c r="D59" i="12"/>
  <c r="D59" i="13"/>
  <c r="D54" i="13"/>
  <c r="D54" i="12"/>
  <c r="D50" i="13"/>
  <c r="D50" i="12"/>
  <c r="C14" i="12"/>
  <c r="D14" i="12" s="1"/>
  <c r="C14" i="13"/>
  <c r="D14" i="13" s="1"/>
  <c r="D47" i="12"/>
  <c r="D47" i="13"/>
  <c r="G65" i="13"/>
  <c r="F63" i="13"/>
  <c r="E61" i="12"/>
  <c r="G63" i="13"/>
  <c r="E62" i="13"/>
  <c r="D60" i="13"/>
  <c r="D60" i="12"/>
  <c r="H66" i="13"/>
  <c r="I66" i="13" s="1"/>
  <c r="G63" i="12"/>
  <c r="E61" i="13"/>
  <c r="H66" i="12"/>
  <c r="I66" i="12" s="1"/>
  <c r="E62" i="12"/>
  <c r="G65" i="12"/>
  <c r="F63" i="12"/>
  <c r="H66" i="3"/>
  <c r="I66" i="3" s="1"/>
  <c r="F63" i="3"/>
  <c r="M19" i="4"/>
  <c r="D70" i="13"/>
  <c r="D55" i="3"/>
  <c r="K21" i="4"/>
  <c r="D50" i="3"/>
  <c r="J28" i="4"/>
  <c r="J32" i="4" s="1"/>
  <c r="D48" i="3"/>
  <c r="D53" i="3"/>
  <c r="D49" i="3"/>
  <c r="K10" i="4"/>
  <c r="D51" i="3"/>
  <c r="D54" i="3"/>
  <c r="C14" i="3"/>
  <c r="D14" i="3" s="1"/>
  <c r="E14" i="3" s="1"/>
  <c r="F14" i="3" s="1"/>
  <c r="G14" i="3" s="1"/>
  <c r="H14" i="3" s="1"/>
  <c r="H29" i="3" s="1"/>
  <c r="D47" i="3"/>
  <c r="I20" i="4"/>
  <c r="J20" i="4"/>
  <c r="E59" i="3"/>
  <c r="D56" i="3"/>
  <c r="D52" i="3"/>
  <c r="C46" i="3"/>
  <c r="J22" i="4"/>
  <c r="I21" i="4"/>
  <c r="E76" i="3"/>
  <c r="H63" i="3"/>
  <c r="F61" i="3"/>
  <c r="F62" i="3"/>
  <c r="H65" i="3"/>
  <c r="E60" i="3"/>
  <c r="K28" i="4"/>
  <c r="G64" i="3"/>
  <c r="J29" i="4"/>
  <c r="D74" i="3"/>
  <c r="K6" i="4"/>
  <c r="K11" i="4"/>
  <c r="K27" i="4"/>
  <c r="L19" i="4"/>
  <c r="J30" i="4"/>
  <c r="D67" i="3"/>
  <c r="K7" i="4"/>
  <c r="K13" i="4"/>
  <c r="K19" i="4"/>
  <c r="E62" i="3"/>
  <c r="G65" i="3"/>
  <c r="I65" i="3" s="1"/>
  <c r="G63" i="3"/>
  <c r="I63" i="3" s="1"/>
  <c r="E61" i="3"/>
  <c r="K5" i="4"/>
  <c r="D76" i="3"/>
  <c r="J31" i="4"/>
  <c r="D68" i="3"/>
  <c r="K9" i="4"/>
  <c r="I22" i="4"/>
  <c r="J19" i="4"/>
  <c r="K34" i="4"/>
  <c r="E71" i="3"/>
  <c r="H6" i="3"/>
  <c r="I5" i="3"/>
  <c r="D33" i="3"/>
  <c r="E33" i="3"/>
  <c r="G30" i="3"/>
  <c r="I32" i="4"/>
  <c r="D59" i="3"/>
  <c r="M4" i="4"/>
  <c r="N5" i="4"/>
  <c r="N6" i="4"/>
  <c r="N7" i="4"/>
  <c r="N8" i="4"/>
  <c r="N9" i="4"/>
  <c r="N10" i="4"/>
  <c r="N11" i="4"/>
  <c r="N12" i="4"/>
  <c r="N13" i="4"/>
  <c r="K8" i="4"/>
  <c r="L4" i="4"/>
  <c r="M5" i="4"/>
  <c r="M6" i="4"/>
  <c r="M7" i="4"/>
  <c r="M8" i="4"/>
  <c r="M9" i="4"/>
  <c r="M10" i="4"/>
  <c r="M11" i="4"/>
  <c r="M12" i="4"/>
  <c r="M13" i="4"/>
  <c r="K12" i="4"/>
  <c r="J4" i="4"/>
  <c r="H46" i="3" s="1"/>
  <c r="K4" i="4"/>
  <c r="L5" i="4"/>
  <c r="L6" i="4"/>
  <c r="L7" i="4"/>
  <c r="L8" i="4"/>
  <c r="L9" i="4"/>
  <c r="L10" i="4"/>
  <c r="L11" i="4"/>
  <c r="L12" i="4"/>
  <c r="L13" i="4"/>
  <c r="D60" i="3"/>
  <c r="H32" i="3"/>
  <c r="F30" i="3"/>
  <c r="G32" i="3"/>
  <c r="H33" i="3"/>
  <c r="D30" i="3"/>
  <c r="F32" i="3"/>
  <c r="G33" i="3"/>
  <c r="D32" i="3"/>
  <c r="H30" i="3"/>
  <c r="E30" i="3"/>
  <c r="E32" i="3"/>
  <c r="F33" i="3"/>
  <c r="K14" i="4"/>
  <c r="N14" i="4"/>
  <c r="M14" i="4"/>
  <c r="L14" i="4"/>
  <c r="C11" i="4"/>
  <c r="C14" i="4" s="1"/>
  <c r="C16" i="4" s="1"/>
  <c r="D11" i="4"/>
  <c r="D14" i="4" s="1"/>
  <c r="D16" i="4" s="1"/>
  <c r="H7" i="3"/>
  <c r="I116" i="3"/>
  <c r="F48" i="13" l="1"/>
  <c r="F48" i="12"/>
  <c r="G52" i="13"/>
  <c r="G52" i="12"/>
  <c r="M52" i="12" s="1"/>
  <c r="H51" i="13"/>
  <c r="H51" i="12"/>
  <c r="E68" i="13"/>
  <c r="K68" i="13" s="1"/>
  <c r="E68" i="12"/>
  <c r="K68" i="12" s="1"/>
  <c r="F74" i="3"/>
  <c r="F74" i="13"/>
  <c r="F74" i="12"/>
  <c r="K23" i="4"/>
  <c r="E48" i="13"/>
  <c r="K48" i="13" s="1"/>
  <c r="E48" i="12"/>
  <c r="K48" i="12" s="1"/>
  <c r="G61" i="13"/>
  <c r="G62" i="12"/>
  <c r="M62" i="12" s="1"/>
  <c r="G62" i="13"/>
  <c r="F60" i="13"/>
  <c r="G61" i="12"/>
  <c r="F60" i="12"/>
  <c r="L60" i="12" s="1"/>
  <c r="D58" i="12"/>
  <c r="E70" i="13"/>
  <c r="K71" i="13"/>
  <c r="I48" i="13"/>
  <c r="G56" i="12"/>
  <c r="G56" i="13"/>
  <c r="F55" i="13"/>
  <c r="F55" i="12"/>
  <c r="L55" i="12" s="1"/>
  <c r="F51" i="13"/>
  <c r="F51" i="12"/>
  <c r="F47" i="13"/>
  <c r="F47" i="12"/>
  <c r="G55" i="13"/>
  <c r="G55" i="12"/>
  <c r="G51" i="12"/>
  <c r="M51" i="12" s="1"/>
  <c r="G51" i="13"/>
  <c r="M51" i="13" s="1"/>
  <c r="G47" i="12"/>
  <c r="G47" i="13"/>
  <c r="M47" i="13" s="1"/>
  <c r="H54" i="13"/>
  <c r="H54" i="12"/>
  <c r="N54" i="12" s="1"/>
  <c r="H50" i="13"/>
  <c r="H50" i="12"/>
  <c r="M15" i="4"/>
  <c r="D77" i="12"/>
  <c r="D77" i="13"/>
  <c r="E55" i="12"/>
  <c r="K55" i="12" s="1"/>
  <c r="E55" i="13"/>
  <c r="K55" i="13" s="1"/>
  <c r="G74" i="13"/>
  <c r="G74" i="12"/>
  <c r="E75" i="13"/>
  <c r="E75" i="12"/>
  <c r="K75" i="12" s="1"/>
  <c r="F76" i="13"/>
  <c r="L76" i="13" s="1"/>
  <c r="F76" i="12"/>
  <c r="L76" i="12" s="1"/>
  <c r="K61" i="13"/>
  <c r="E14" i="13"/>
  <c r="D29" i="13"/>
  <c r="K76" i="13"/>
  <c r="M64" i="13"/>
  <c r="I64" i="13"/>
  <c r="F56" i="13"/>
  <c r="F56" i="12"/>
  <c r="E54" i="13"/>
  <c r="K54" i="13" s="1"/>
  <c r="E54" i="12"/>
  <c r="K54" i="12" s="1"/>
  <c r="H55" i="13"/>
  <c r="N55" i="13" s="1"/>
  <c r="H55" i="12"/>
  <c r="N55" i="12" s="1"/>
  <c r="H47" i="12"/>
  <c r="N47" i="12" s="1"/>
  <c r="H47" i="13"/>
  <c r="N47" i="13" s="1"/>
  <c r="E74" i="13"/>
  <c r="E74" i="12"/>
  <c r="J23" i="4"/>
  <c r="K61" i="12"/>
  <c r="I51" i="13"/>
  <c r="C11" i="13"/>
  <c r="D11" i="13" s="1"/>
  <c r="C11" i="12"/>
  <c r="D11" i="12" s="1"/>
  <c r="H56" i="12"/>
  <c r="N56" i="12" s="1"/>
  <c r="H56" i="13"/>
  <c r="N56" i="13" s="1"/>
  <c r="F54" i="13"/>
  <c r="L54" i="13" s="1"/>
  <c r="F54" i="12"/>
  <c r="L54" i="12" s="1"/>
  <c r="F50" i="13"/>
  <c r="F50" i="12"/>
  <c r="K15" i="4"/>
  <c r="G54" i="13"/>
  <c r="G54" i="12"/>
  <c r="M54" i="12" s="1"/>
  <c r="G50" i="13"/>
  <c r="M50" i="13" s="1"/>
  <c r="G50" i="12"/>
  <c r="M50" i="12" s="1"/>
  <c r="L15" i="4"/>
  <c r="H53" i="13"/>
  <c r="H53" i="12"/>
  <c r="H49" i="13"/>
  <c r="N49" i="13" s="1"/>
  <c r="H49" i="12"/>
  <c r="E51" i="13"/>
  <c r="K51" i="13" s="1"/>
  <c r="E51" i="12"/>
  <c r="K51" i="12" s="1"/>
  <c r="E47" i="12"/>
  <c r="K47" i="12" s="1"/>
  <c r="E47" i="13"/>
  <c r="K47" i="13" s="1"/>
  <c r="E49" i="13"/>
  <c r="E49" i="12"/>
  <c r="K49" i="12" s="1"/>
  <c r="F59" i="12"/>
  <c r="F59" i="13"/>
  <c r="H64" i="13"/>
  <c r="N64" i="13" s="1"/>
  <c r="H64" i="12"/>
  <c r="N64" i="12" s="1"/>
  <c r="D75" i="13"/>
  <c r="D73" i="13" s="1"/>
  <c r="D75" i="12"/>
  <c r="H74" i="13"/>
  <c r="H74" i="12"/>
  <c r="M65" i="12"/>
  <c r="I63" i="12"/>
  <c r="K62" i="13"/>
  <c r="M65" i="13"/>
  <c r="I65" i="13"/>
  <c r="D29" i="12"/>
  <c r="E14" i="12"/>
  <c r="N15" i="4"/>
  <c r="I55" i="13"/>
  <c r="M64" i="12"/>
  <c r="K59" i="13"/>
  <c r="F52" i="12"/>
  <c r="F52" i="13"/>
  <c r="G48" i="13"/>
  <c r="M48" i="13" s="1"/>
  <c r="G48" i="12"/>
  <c r="E67" i="13"/>
  <c r="E67" i="12"/>
  <c r="K67" i="12" s="1"/>
  <c r="E77" i="13"/>
  <c r="E77" i="12"/>
  <c r="K77" i="12" s="1"/>
  <c r="C10" i="12"/>
  <c r="D10" i="12" s="1"/>
  <c r="C10" i="13"/>
  <c r="D10" i="13" s="1"/>
  <c r="E56" i="13"/>
  <c r="K56" i="13" s="1"/>
  <c r="E56" i="12"/>
  <c r="K56" i="12" s="1"/>
  <c r="F53" i="12"/>
  <c r="F53" i="13"/>
  <c r="F49" i="13"/>
  <c r="L49" i="13" s="1"/>
  <c r="F49" i="12"/>
  <c r="L49" i="12" s="1"/>
  <c r="G46" i="13"/>
  <c r="F46" i="12"/>
  <c r="F46" i="13"/>
  <c r="E46" i="12"/>
  <c r="E46" i="13"/>
  <c r="H46" i="12"/>
  <c r="D46" i="12"/>
  <c r="D46" i="13"/>
  <c r="G46" i="12"/>
  <c r="M46" i="12" s="1"/>
  <c r="H46" i="13"/>
  <c r="G53" i="12"/>
  <c r="M53" i="12" s="1"/>
  <c r="G53" i="13"/>
  <c r="M53" i="13" s="1"/>
  <c r="G49" i="12"/>
  <c r="G49" i="13"/>
  <c r="M49" i="13" s="1"/>
  <c r="E50" i="12"/>
  <c r="K50" i="12" s="1"/>
  <c r="E50" i="13"/>
  <c r="K50" i="13" s="1"/>
  <c r="H52" i="13"/>
  <c r="N52" i="13" s="1"/>
  <c r="H52" i="12"/>
  <c r="H48" i="13"/>
  <c r="N48" i="13" s="1"/>
  <c r="H48" i="12"/>
  <c r="N48" i="12" s="1"/>
  <c r="K59" i="3"/>
  <c r="F71" i="13"/>
  <c r="F71" i="12"/>
  <c r="E77" i="3"/>
  <c r="E53" i="12"/>
  <c r="K53" i="12" s="1"/>
  <c r="E53" i="13"/>
  <c r="K53" i="13" s="1"/>
  <c r="D76" i="13"/>
  <c r="D76" i="12"/>
  <c r="E52" i="13"/>
  <c r="K52" i="13" s="1"/>
  <c r="E52" i="12"/>
  <c r="K52" i="12" s="1"/>
  <c r="F62" i="13"/>
  <c r="L62" i="13" s="1"/>
  <c r="E60" i="13"/>
  <c r="K60" i="13" s="1"/>
  <c r="E60" i="12"/>
  <c r="K60" i="12" s="1"/>
  <c r="H65" i="13"/>
  <c r="N65" i="13" s="1"/>
  <c r="H63" i="12"/>
  <c r="H63" i="13"/>
  <c r="F61" i="13"/>
  <c r="L61" i="13" s="1"/>
  <c r="H65" i="12"/>
  <c r="N65" i="12" s="1"/>
  <c r="F62" i="12"/>
  <c r="L62" i="12" s="1"/>
  <c r="F61" i="12"/>
  <c r="L61" i="12" s="1"/>
  <c r="K62" i="12"/>
  <c r="I63" i="13"/>
  <c r="I47" i="13"/>
  <c r="D58" i="13"/>
  <c r="I51" i="12"/>
  <c r="I74" i="12"/>
  <c r="K71" i="12"/>
  <c r="E70" i="12"/>
  <c r="I52" i="12"/>
  <c r="K59" i="12"/>
  <c r="F29" i="3"/>
  <c r="F28" i="3" s="1"/>
  <c r="D29" i="3"/>
  <c r="D28" i="3" s="1"/>
  <c r="E31" i="3"/>
  <c r="E29" i="3"/>
  <c r="E28" i="3" s="1"/>
  <c r="K76" i="3"/>
  <c r="G29" i="3"/>
  <c r="H56" i="3"/>
  <c r="F55" i="3"/>
  <c r="F47" i="3"/>
  <c r="G51" i="3"/>
  <c r="H54" i="3"/>
  <c r="D77" i="3"/>
  <c r="L21" i="4"/>
  <c r="F76" i="3"/>
  <c r="L76" i="3" s="1"/>
  <c r="E56" i="3"/>
  <c r="H49" i="3"/>
  <c r="L34" i="4"/>
  <c r="E52" i="3"/>
  <c r="K52" i="3" s="1"/>
  <c r="F56" i="3"/>
  <c r="F53" i="3"/>
  <c r="F49" i="3"/>
  <c r="D46" i="3"/>
  <c r="D45" i="3" s="1"/>
  <c r="G53" i="3"/>
  <c r="M53" i="3" s="1"/>
  <c r="G49" i="3"/>
  <c r="E50" i="3"/>
  <c r="K50" i="3" s="1"/>
  <c r="H52" i="3"/>
  <c r="H48" i="3"/>
  <c r="I23" i="4"/>
  <c r="D75" i="3"/>
  <c r="D73" i="3" s="1"/>
  <c r="E49" i="3"/>
  <c r="K49" i="3" s="1"/>
  <c r="K22" i="4"/>
  <c r="F51" i="3"/>
  <c r="G55" i="3"/>
  <c r="G47" i="3"/>
  <c r="H50" i="3"/>
  <c r="E48" i="3"/>
  <c r="K48" i="3" s="1"/>
  <c r="F54" i="3"/>
  <c r="F50" i="3"/>
  <c r="G54" i="3"/>
  <c r="G50" i="3"/>
  <c r="H53" i="3"/>
  <c r="E51" i="3"/>
  <c r="L51" i="3" s="1"/>
  <c r="E47" i="3"/>
  <c r="K47" i="3" s="1"/>
  <c r="E55" i="3"/>
  <c r="K55" i="3" s="1"/>
  <c r="G56" i="3"/>
  <c r="F52" i="3"/>
  <c r="L52" i="3" s="1"/>
  <c r="F48" i="3"/>
  <c r="E54" i="3"/>
  <c r="K54" i="3" s="1"/>
  <c r="G52" i="3"/>
  <c r="G48" i="3"/>
  <c r="M48" i="3" s="1"/>
  <c r="H55" i="3"/>
  <c r="H51" i="3"/>
  <c r="N51" i="3" s="1"/>
  <c r="H47" i="3"/>
  <c r="E74" i="3"/>
  <c r="K74" i="3" s="1"/>
  <c r="E53" i="3"/>
  <c r="K53" i="3" s="1"/>
  <c r="N65" i="3"/>
  <c r="D31" i="3"/>
  <c r="K62" i="3"/>
  <c r="E75" i="3"/>
  <c r="K20" i="4"/>
  <c r="M64" i="3"/>
  <c r="K61" i="3"/>
  <c r="L62" i="3"/>
  <c r="G46" i="3"/>
  <c r="K31" i="4"/>
  <c r="E68" i="3"/>
  <c r="K68" i="3" s="1"/>
  <c r="K30" i="4"/>
  <c r="E67" i="3"/>
  <c r="K67" i="3" s="1"/>
  <c r="L28" i="4"/>
  <c r="G61" i="3"/>
  <c r="M61" i="3" s="1"/>
  <c r="G62" i="3"/>
  <c r="M62" i="3" s="1"/>
  <c r="F60" i="3"/>
  <c r="L60" i="3" s="1"/>
  <c r="L61" i="3"/>
  <c r="F71" i="3"/>
  <c r="E46" i="3"/>
  <c r="E70" i="3"/>
  <c r="K70" i="3" s="1"/>
  <c r="K71" i="3"/>
  <c r="M65" i="3"/>
  <c r="L27" i="4"/>
  <c r="F59" i="3"/>
  <c r="H64" i="3"/>
  <c r="N64" i="3" s="1"/>
  <c r="K29" i="4"/>
  <c r="L29" i="4" s="1"/>
  <c r="M29" i="4" s="1"/>
  <c r="K60" i="3"/>
  <c r="D58" i="3"/>
  <c r="G31" i="3"/>
  <c r="H31" i="3"/>
  <c r="I30" i="3"/>
  <c r="F31" i="3"/>
  <c r="H28" i="3"/>
  <c r="G74" i="3"/>
  <c r="J15" i="4"/>
  <c r="F46" i="3"/>
  <c r="I32" i="3"/>
  <c r="I33" i="3"/>
  <c r="C10" i="3"/>
  <c r="D10" i="3" s="1"/>
  <c r="D20" i="4"/>
  <c r="D21" i="4" s="1"/>
  <c r="C11" i="3"/>
  <c r="D11" i="3" s="1"/>
  <c r="C20" i="4"/>
  <c r="C21" i="4" s="1"/>
  <c r="D101" i="3" l="1"/>
  <c r="F68" i="13"/>
  <c r="F68" i="12"/>
  <c r="G71" i="13"/>
  <c r="G71" i="12"/>
  <c r="D45" i="13"/>
  <c r="I46" i="13"/>
  <c r="E58" i="13"/>
  <c r="D28" i="13"/>
  <c r="M74" i="13"/>
  <c r="L47" i="12"/>
  <c r="C19" i="13"/>
  <c r="D19" i="13" s="1"/>
  <c r="E19" i="13" s="1"/>
  <c r="F19" i="13" s="1"/>
  <c r="G19" i="13" s="1"/>
  <c r="H19" i="13" s="1"/>
  <c r="C19" i="12"/>
  <c r="D19" i="12" s="1"/>
  <c r="E19" i="12" s="1"/>
  <c r="F19" i="12" s="1"/>
  <c r="G19" i="12" s="1"/>
  <c r="H19" i="12" s="1"/>
  <c r="F75" i="13"/>
  <c r="L75" i="13" s="1"/>
  <c r="F75" i="12"/>
  <c r="L75" i="12" s="1"/>
  <c r="K77" i="3"/>
  <c r="E58" i="12"/>
  <c r="D73" i="12"/>
  <c r="I62" i="12"/>
  <c r="F70" i="12"/>
  <c r="L71" i="12"/>
  <c r="I46" i="12"/>
  <c r="D45" i="12"/>
  <c r="F45" i="13"/>
  <c r="L46" i="13"/>
  <c r="K77" i="13"/>
  <c r="I53" i="13"/>
  <c r="I54" i="13"/>
  <c r="I65" i="12"/>
  <c r="N74" i="13"/>
  <c r="N53" i="12"/>
  <c r="F45" i="12"/>
  <c r="L50" i="12"/>
  <c r="I52" i="13"/>
  <c r="I50" i="13"/>
  <c r="K74" i="12"/>
  <c r="E73" i="12"/>
  <c r="L56" i="12"/>
  <c r="E29" i="13"/>
  <c r="E28" i="13" s="1"/>
  <c r="F14" i="13"/>
  <c r="K75" i="13"/>
  <c r="N54" i="13"/>
  <c r="L47" i="13"/>
  <c r="L55" i="13"/>
  <c r="M61" i="12"/>
  <c r="M61" i="13"/>
  <c r="L74" i="12"/>
  <c r="M52" i="13"/>
  <c r="G76" i="13"/>
  <c r="M76" i="13" s="1"/>
  <c r="G76" i="12"/>
  <c r="M76" i="12" s="1"/>
  <c r="E45" i="12"/>
  <c r="K46" i="12"/>
  <c r="N74" i="12"/>
  <c r="L59" i="12"/>
  <c r="E11" i="13"/>
  <c r="D37" i="13"/>
  <c r="D41" i="13" s="1"/>
  <c r="G59" i="13"/>
  <c r="G59" i="12"/>
  <c r="F67" i="13"/>
  <c r="L67" i="13" s="1"/>
  <c r="F67" i="12"/>
  <c r="F58" i="12" s="1"/>
  <c r="F77" i="13"/>
  <c r="L77" i="13" s="1"/>
  <c r="F77" i="12"/>
  <c r="L77" i="12" s="1"/>
  <c r="I56" i="3"/>
  <c r="K70" i="12"/>
  <c r="I50" i="12"/>
  <c r="F70" i="13"/>
  <c r="L71" i="13"/>
  <c r="N52" i="12"/>
  <c r="H45" i="13"/>
  <c r="N46" i="13"/>
  <c r="H45" i="12"/>
  <c r="N46" i="12"/>
  <c r="L46" i="12"/>
  <c r="L53" i="13"/>
  <c r="D36" i="13"/>
  <c r="E10" i="13"/>
  <c r="L52" i="13"/>
  <c r="I56" i="12"/>
  <c r="E29" i="12"/>
  <c r="E28" i="12" s="1"/>
  <c r="F14" i="12"/>
  <c r="K32" i="4"/>
  <c r="I49" i="13"/>
  <c r="K49" i="13"/>
  <c r="N53" i="13"/>
  <c r="L50" i="13"/>
  <c r="E73" i="13"/>
  <c r="K73" i="13" s="1"/>
  <c r="K74" i="13"/>
  <c r="L56" i="13"/>
  <c r="I53" i="12"/>
  <c r="I49" i="12"/>
  <c r="N50" i="12"/>
  <c r="M55" i="12"/>
  <c r="L51" i="12"/>
  <c r="M56" i="13"/>
  <c r="K70" i="13"/>
  <c r="I47" i="12"/>
  <c r="L60" i="13"/>
  <c r="L74" i="13"/>
  <c r="F73" i="13"/>
  <c r="N51" i="12"/>
  <c r="L48" i="12"/>
  <c r="H61" i="13"/>
  <c r="N61" i="13" s="1"/>
  <c r="H62" i="12"/>
  <c r="N62" i="12" s="1"/>
  <c r="H61" i="12"/>
  <c r="N61" i="12" s="1"/>
  <c r="H62" i="13"/>
  <c r="N62" i="13" s="1"/>
  <c r="G60" i="13"/>
  <c r="M60" i="13" s="1"/>
  <c r="G60" i="12"/>
  <c r="M60" i="12" s="1"/>
  <c r="G45" i="12"/>
  <c r="M48" i="12"/>
  <c r="C18" i="13"/>
  <c r="D18" i="13" s="1"/>
  <c r="E18" i="13" s="1"/>
  <c r="F18" i="13" s="1"/>
  <c r="G18" i="13" s="1"/>
  <c r="H18" i="13" s="1"/>
  <c r="C18" i="12"/>
  <c r="D18" i="12" s="1"/>
  <c r="E18" i="12" s="1"/>
  <c r="F18" i="12" s="1"/>
  <c r="G18" i="12" s="1"/>
  <c r="H18" i="12" s="1"/>
  <c r="L50" i="3"/>
  <c r="M47" i="3"/>
  <c r="I48" i="12"/>
  <c r="M49" i="12"/>
  <c r="E45" i="13"/>
  <c r="K46" i="13"/>
  <c r="M46" i="13"/>
  <c r="G45" i="13"/>
  <c r="L53" i="12"/>
  <c r="E10" i="12"/>
  <c r="D36" i="12"/>
  <c r="D35" i="12" s="1"/>
  <c r="K67" i="13"/>
  <c r="L52" i="12"/>
  <c r="I64" i="12"/>
  <c r="D28" i="12"/>
  <c r="L59" i="13"/>
  <c r="N49" i="12"/>
  <c r="M54" i="13"/>
  <c r="E11" i="12"/>
  <c r="D37" i="12"/>
  <c r="I74" i="13"/>
  <c r="I56" i="13"/>
  <c r="I55" i="12"/>
  <c r="I54" i="12"/>
  <c r="I61" i="13"/>
  <c r="M74" i="12"/>
  <c r="N50" i="13"/>
  <c r="M47" i="12"/>
  <c r="M55" i="13"/>
  <c r="L51" i="13"/>
  <c r="M56" i="12"/>
  <c r="K76" i="12"/>
  <c r="M62" i="13"/>
  <c r="N51" i="13"/>
  <c r="L48" i="13"/>
  <c r="N48" i="3"/>
  <c r="I55" i="3"/>
  <c r="I54" i="3"/>
  <c r="I47" i="3"/>
  <c r="I48" i="3"/>
  <c r="I51" i="3"/>
  <c r="I50" i="3"/>
  <c r="I64" i="3"/>
  <c r="L55" i="3"/>
  <c r="I52" i="3"/>
  <c r="I53" i="3"/>
  <c r="I49" i="3"/>
  <c r="I29" i="3"/>
  <c r="D27" i="3"/>
  <c r="N56" i="3"/>
  <c r="G28" i="3"/>
  <c r="G27" i="3" s="1"/>
  <c r="M55" i="3"/>
  <c r="N49" i="3"/>
  <c r="M49" i="3"/>
  <c r="N55" i="3"/>
  <c r="N53" i="3"/>
  <c r="N47" i="3"/>
  <c r="L49" i="3"/>
  <c r="L56" i="3"/>
  <c r="M51" i="3"/>
  <c r="M52" i="3"/>
  <c r="N50" i="3"/>
  <c r="L74" i="3"/>
  <c r="L53" i="3"/>
  <c r="H45" i="3"/>
  <c r="M56" i="3"/>
  <c r="M54" i="3"/>
  <c r="N52" i="3"/>
  <c r="N54" i="3"/>
  <c r="E45" i="3"/>
  <c r="M21" i="4"/>
  <c r="G76" i="3"/>
  <c r="K56" i="3"/>
  <c r="K51" i="3"/>
  <c r="L22" i="4"/>
  <c r="F77" i="3"/>
  <c r="L48" i="3"/>
  <c r="L54" i="3"/>
  <c r="L47" i="3"/>
  <c r="G45" i="3"/>
  <c r="M50" i="3"/>
  <c r="M46" i="3"/>
  <c r="N46" i="3"/>
  <c r="C19" i="3"/>
  <c r="D19" i="3" s="1"/>
  <c r="E19" i="3" s="1"/>
  <c r="F19" i="3" s="1"/>
  <c r="G19" i="3" s="1"/>
  <c r="H19" i="3" s="1"/>
  <c r="C18" i="3"/>
  <c r="D18" i="3" s="1"/>
  <c r="E18" i="3" s="1"/>
  <c r="F18" i="3" s="1"/>
  <c r="G18" i="3" s="1"/>
  <c r="H18" i="3" s="1"/>
  <c r="K46" i="3"/>
  <c r="M27" i="4"/>
  <c r="G59" i="3"/>
  <c r="L30" i="4"/>
  <c r="F67" i="3"/>
  <c r="L67" i="3" s="1"/>
  <c r="M28" i="4"/>
  <c r="H62" i="3"/>
  <c r="N62" i="3" s="1"/>
  <c r="H61" i="3"/>
  <c r="N61" i="3" s="1"/>
  <c r="G60" i="3"/>
  <c r="L31" i="4"/>
  <c r="F68" i="3"/>
  <c r="L68" i="3" s="1"/>
  <c r="F70" i="3"/>
  <c r="L70" i="3" s="1"/>
  <c r="L71" i="3"/>
  <c r="K75" i="3"/>
  <c r="E73" i="3"/>
  <c r="K73" i="3" s="1"/>
  <c r="L59" i="3"/>
  <c r="M34" i="4"/>
  <c r="G71" i="3"/>
  <c r="E58" i="3"/>
  <c r="F75" i="3"/>
  <c r="L20" i="4"/>
  <c r="F45" i="3"/>
  <c r="L46" i="3"/>
  <c r="M74" i="3"/>
  <c r="H27" i="3"/>
  <c r="F27" i="3"/>
  <c r="I46" i="3"/>
  <c r="I31" i="3"/>
  <c r="H74" i="3"/>
  <c r="E10" i="3"/>
  <c r="D36" i="3"/>
  <c r="D40" i="3" s="1"/>
  <c r="E11" i="3"/>
  <c r="D37" i="3"/>
  <c r="E27" i="3"/>
  <c r="L58" i="12" l="1"/>
  <c r="G68" i="12"/>
  <c r="M68" i="12" s="1"/>
  <c r="G68" i="13"/>
  <c r="M68" i="13" s="1"/>
  <c r="H59" i="12"/>
  <c r="H59" i="13"/>
  <c r="E36" i="12"/>
  <c r="E35" i="12" s="1"/>
  <c r="F10" i="12"/>
  <c r="F11" i="13"/>
  <c r="E37" i="13"/>
  <c r="E41" i="13" s="1"/>
  <c r="I76" i="13"/>
  <c r="D101" i="13"/>
  <c r="I45" i="13"/>
  <c r="D57" i="13"/>
  <c r="G75" i="13"/>
  <c r="G75" i="12"/>
  <c r="L23" i="4"/>
  <c r="M45" i="12"/>
  <c r="I62" i="13"/>
  <c r="N45" i="13"/>
  <c r="L70" i="13"/>
  <c r="L45" i="13"/>
  <c r="D40" i="13"/>
  <c r="D27" i="13"/>
  <c r="L68" i="13"/>
  <c r="H60" i="13"/>
  <c r="H60" i="12"/>
  <c r="H76" i="13"/>
  <c r="N76" i="13" s="1"/>
  <c r="H76" i="12"/>
  <c r="M59" i="13"/>
  <c r="G58" i="13"/>
  <c r="I59" i="13"/>
  <c r="E27" i="13"/>
  <c r="G67" i="13"/>
  <c r="M67" i="13" s="1"/>
  <c r="G67" i="12"/>
  <c r="M67" i="12" s="1"/>
  <c r="D41" i="12"/>
  <c r="D40" i="12"/>
  <c r="D27" i="12"/>
  <c r="M45" i="13"/>
  <c r="L73" i="13"/>
  <c r="I61" i="12"/>
  <c r="F29" i="12"/>
  <c r="G14" i="12"/>
  <c r="F10" i="13"/>
  <c r="E36" i="13"/>
  <c r="E35" i="13" s="1"/>
  <c r="L32" i="4"/>
  <c r="K45" i="12"/>
  <c r="E101" i="12"/>
  <c r="K73" i="12"/>
  <c r="D101" i="12"/>
  <c r="I45" i="12"/>
  <c r="D57" i="12"/>
  <c r="D78" i="12"/>
  <c r="K58" i="13"/>
  <c r="G70" i="12"/>
  <c r="M71" i="12"/>
  <c r="G77" i="13"/>
  <c r="M77" i="13" s="1"/>
  <c r="G77" i="12"/>
  <c r="M77" i="12" s="1"/>
  <c r="L67" i="12"/>
  <c r="L68" i="12"/>
  <c r="H71" i="13"/>
  <c r="H71" i="12"/>
  <c r="K45" i="13"/>
  <c r="E101" i="13"/>
  <c r="F11" i="12"/>
  <c r="E37" i="12"/>
  <c r="E41" i="12" s="1"/>
  <c r="F58" i="13"/>
  <c r="L58" i="13" s="1"/>
  <c r="E27" i="12"/>
  <c r="D35" i="13"/>
  <c r="N45" i="12"/>
  <c r="M59" i="12"/>
  <c r="G58" i="12"/>
  <c r="F73" i="12"/>
  <c r="F29" i="13"/>
  <c r="F28" i="13" s="1"/>
  <c r="G14" i="13"/>
  <c r="L45" i="12"/>
  <c r="F101" i="12"/>
  <c r="F57" i="12"/>
  <c r="L70" i="12"/>
  <c r="F72" i="12"/>
  <c r="K58" i="12"/>
  <c r="E69" i="12"/>
  <c r="M71" i="13"/>
  <c r="G70" i="13"/>
  <c r="I71" i="13"/>
  <c r="K45" i="3"/>
  <c r="E101" i="3"/>
  <c r="I62" i="3"/>
  <c r="I61" i="3"/>
  <c r="N45" i="3"/>
  <c r="I28" i="3"/>
  <c r="L77" i="3"/>
  <c r="H76" i="3"/>
  <c r="N76" i="3" s="1"/>
  <c r="H60" i="3"/>
  <c r="N60" i="3" s="1"/>
  <c r="M22" i="4"/>
  <c r="G77" i="3"/>
  <c r="M77" i="3" s="1"/>
  <c r="H71" i="3"/>
  <c r="I70" i="3" s="1"/>
  <c r="H59" i="3"/>
  <c r="N59" i="3" s="1"/>
  <c r="M76" i="3"/>
  <c r="I76" i="3"/>
  <c r="F58" i="3"/>
  <c r="L58" i="3" s="1"/>
  <c r="D90" i="3"/>
  <c r="D72" i="3"/>
  <c r="D69" i="3"/>
  <c r="D100" i="3"/>
  <c r="D78" i="3"/>
  <c r="D57" i="3"/>
  <c r="L75" i="3"/>
  <c r="F73" i="3"/>
  <c r="L73" i="3" s="1"/>
  <c r="M31" i="4"/>
  <c r="G68" i="3"/>
  <c r="M30" i="4"/>
  <c r="M32" i="4" s="1"/>
  <c r="G67" i="3"/>
  <c r="M59" i="3"/>
  <c r="M20" i="4"/>
  <c r="G75" i="3"/>
  <c r="G70" i="3"/>
  <c r="M70" i="3" s="1"/>
  <c r="M71" i="3"/>
  <c r="I71" i="3"/>
  <c r="H70" i="3"/>
  <c r="M60" i="3"/>
  <c r="K58" i="3"/>
  <c r="I27" i="3"/>
  <c r="L45" i="3"/>
  <c r="I45" i="3"/>
  <c r="M45" i="3"/>
  <c r="N74" i="3"/>
  <c r="I74" i="3"/>
  <c r="F10" i="3"/>
  <c r="E36" i="3"/>
  <c r="E40" i="3" s="1"/>
  <c r="D41" i="3"/>
  <c r="D35" i="3"/>
  <c r="F11" i="3"/>
  <c r="E37" i="3"/>
  <c r="D44" i="3" l="1"/>
  <c r="F27" i="13"/>
  <c r="H14" i="12"/>
  <c r="H29" i="12" s="1"/>
  <c r="H28" i="12" s="1"/>
  <c r="G29" i="12"/>
  <c r="G28" i="12" s="1"/>
  <c r="M58" i="13"/>
  <c r="I28" i="13"/>
  <c r="M75" i="13"/>
  <c r="G73" i="13"/>
  <c r="H75" i="13"/>
  <c r="I75" i="13" s="1"/>
  <c r="H75" i="12"/>
  <c r="M23" i="4"/>
  <c r="H77" i="12"/>
  <c r="N77" i="12" s="1"/>
  <c r="H77" i="13"/>
  <c r="M70" i="13"/>
  <c r="F90" i="12"/>
  <c r="L101" i="12"/>
  <c r="F100" i="12"/>
  <c r="L73" i="12"/>
  <c r="F78" i="12"/>
  <c r="E39" i="12"/>
  <c r="E103" i="12" s="1"/>
  <c r="E90" i="12"/>
  <c r="E100" i="12"/>
  <c r="K101" i="12"/>
  <c r="E72" i="12"/>
  <c r="F28" i="12"/>
  <c r="E39" i="13"/>
  <c r="E103" i="13" s="1"/>
  <c r="N60" i="13"/>
  <c r="I60" i="13"/>
  <c r="D39" i="13"/>
  <c r="F101" i="13"/>
  <c r="E78" i="13"/>
  <c r="E100" i="13"/>
  <c r="E90" i="13"/>
  <c r="K101" i="13"/>
  <c r="E72" i="13"/>
  <c r="H68" i="13"/>
  <c r="N68" i="13" s="1"/>
  <c r="H68" i="12"/>
  <c r="M58" i="12"/>
  <c r="E40" i="12"/>
  <c r="G11" i="12"/>
  <c r="F37" i="12"/>
  <c r="H70" i="12"/>
  <c r="N71" i="12"/>
  <c r="I71" i="12"/>
  <c r="I70" i="12"/>
  <c r="D100" i="12"/>
  <c r="D90" i="12"/>
  <c r="D72" i="12"/>
  <c r="D69" i="12"/>
  <c r="D44" i="12" s="1"/>
  <c r="E57" i="12"/>
  <c r="G101" i="13"/>
  <c r="G69" i="13" s="1"/>
  <c r="D39" i="12"/>
  <c r="E40" i="13"/>
  <c r="N76" i="12"/>
  <c r="I76" i="12"/>
  <c r="I68" i="13"/>
  <c r="F37" i="13"/>
  <c r="F41" i="13" s="1"/>
  <c r="G11" i="13"/>
  <c r="N59" i="13"/>
  <c r="H58" i="13"/>
  <c r="F69" i="12"/>
  <c r="F44" i="12" s="1"/>
  <c r="H67" i="13"/>
  <c r="H67" i="12"/>
  <c r="E69" i="13"/>
  <c r="I77" i="12"/>
  <c r="N60" i="12"/>
  <c r="I60" i="12"/>
  <c r="G29" i="13"/>
  <c r="G28" i="13" s="1"/>
  <c r="H14" i="13"/>
  <c r="H29" i="13" s="1"/>
  <c r="H28" i="13" s="1"/>
  <c r="E57" i="13"/>
  <c r="N71" i="13"/>
  <c r="H70" i="13"/>
  <c r="I70" i="13"/>
  <c r="M70" i="12"/>
  <c r="E78" i="12"/>
  <c r="G10" i="13"/>
  <c r="F36" i="13"/>
  <c r="F40" i="13" s="1"/>
  <c r="M75" i="12"/>
  <c r="G73" i="12"/>
  <c r="I75" i="12"/>
  <c r="D69" i="13"/>
  <c r="D44" i="13" s="1"/>
  <c r="D90" i="13"/>
  <c r="D100" i="13"/>
  <c r="D72" i="13"/>
  <c r="D78" i="13"/>
  <c r="G10" i="12"/>
  <c r="F36" i="12"/>
  <c r="F35" i="12" s="1"/>
  <c r="N59" i="12"/>
  <c r="I59" i="12"/>
  <c r="F101" i="3"/>
  <c r="I60" i="3"/>
  <c r="I59" i="3"/>
  <c r="N71" i="3"/>
  <c r="H68" i="3"/>
  <c r="N68" i="3" s="1"/>
  <c r="H75" i="3"/>
  <c r="I75" i="3" s="1"/>
  <c r="H67" i="3"/>
  <c r="N67" i="3" s="1"/>
  <c r="H77" i="3"/>
  <c r="N77" i="3" s="1"/>
  <c r="K101" i="3"/>
  <c r="E90" i="3"/>
  <c r="E72" i="3"/>
  <c r="E100" i="3"/>
  <c r="E78" i="3"/>
  <c r="E69" i="3"/>
  <c r="E57" i="3"/>
  <c r="E44" i="3" s="1"/>
  <c r="N75" i="3"/>
  <c r="N70" i="3"/>
  <c r="M67" i="3"/>
  <c r="G58" i="3"/>
  <c r="M68" i="3"/>
  <c r="M75" i="3"/>
  <c r="G73" i="3"/>
  <c r="M73" i="3" s="1"/>
  <c r="G10" i="3"/>
  <c r="F36" i="3"/>
  <c r="D39" i="3"/>
  <c r="D103" i="3" s="1"/>
  <c r="G11" i="3"/>
  <c r="F37" i="3"/>
  <c r="E41" i="3"/>
  <c r="E35" i="3"/>
  <c r="E107" i="12" l="1"/>
  <c r="E108" i="12" s="1"/>
  <c r="E104" i="12"/>
  <c r="E105" i="12" s="1"/>
  <c r="E113" i="12"/>
  <c r="E112" i="12"/>
  <c r="H27" i="12"/>
  <c r="I58" i="12"/>
  <c r="G36" i="12"/>
  <c r="H10" i="12"/>
  <c r="H36" i="12" s="1"/>
  <c r="N73" i="12"/>
  <c r="M73" i="12"/>
  <c r="G101" i="12"/>
  <c r="H10" i="13"/>
  <c r="H36" i="13" s="1"/>
  <c r="H35" i="13" s="1"/>
  <c r="G36" i="13"/>
  <c r="G35" i="13" s="1"/>
  <c r="I35" i="13" s="1"/>
  <c r="E44" i="13"/>
  <c r="N58" i="13"/>
  <c r="H101" i="13"/>
  <c r="I101" i="13" s="1"/>
  <c r="E44" i="12"/>
  <c r="D103" i="13"/>
  <c r="I29" i="12"/>
  <c r="G100" i="13"/>
  <c r="G90" i="13"/>
  <c r="M101" i="13"/>
  <c r="G57" i="13"/>
  <c r="H11" i="12"/>
  <c r="H37" i="12" s="1"/>
  <c r="H41" i="12" s="1"/>
  <c r="G37" i="12"/>
  <c r="G41" i="12" s="1"/>
  <c r="N75" i="13"/>
  <c r="H73" i="13"/>
  <c r="H27" i="13"/>
  <c r="H39" i="13" s="1"/>
  <c r="H40" i="13"/>
  <c r="I29" i="13"/>
  <c r="N67" i="12"/>
  <c r="I67" i="12"/>
  <c r="N70" i="12"/>
  <c r="F27" i="12"/>
  <c r="F40" i="12"/>
  <c r="I28" i="12"/>
  <c r="G72" i="13"/>
  <c r="M73" i="13"/>
  <c r="G78" i="13"/>
  <c r="I73" i="13"/>
  <c r="F35" i="13"/>
  <c r="F39" i="13" s="1"/>
  <c r="N68" i="12"/>
  <c r="I68" i="12"/>
  <c r="E113" i="13"/>
  <c r="E112" i="13"/>
  <c r="E117" i="13" s="1"/>
  <c r="E119" i="13" s="1"/>
  <c r="E121" i="13" s="1"/>
  <c r="E105" i="13"/>
  <c r="E107" i="13"/>
  <c r="E108" i="13" s="1"/>
  <c r="E104" i="13"/>
  <c r="N77" i="13"/>
  <c r="I77" i="13"/>
  <c r="H58" i="12"/>
  <c r="N70" i="13"/>
  <c r="H72" i="13"/>
  <c r="G27" i="13"/>
  <c r="N67" i="13"/>
  <c r="I67" i="13"/>
  <c r="I58" i="13" s="1"/>
  <c r="G37" i="13"/>
  <c r="G41" i="13" s="1"/>
  <c r="H11" i="13"/>
  <c r="H37" i="13" s="1"/>
  <c r="D103" i="12"/>
  <c r="F41" i="12"/>
  <c r="F69" i="13"/>
  <c r="F100" i="13"/>
  <c r="F90" i="13"/>
  <c r="L101" i="13"/>
  <c r="F72" i="13"/>
  <c r="F57" i="13"/>
  <c r="F44" i="13" s="1"/>
  <c r="F78" i="13"/>
  <c r="N75" i="12"/>
  <c r="H73" i="12"/>
  <c r="G40" i="12"/>
  <c r="G27" i="12"/>
  <c r="G101" i="3"/>
  <c r="I67" i="3"/>
  <c r="I68" i="3"/>
  <c r="D104" i="3"/>
  <c r="D105" i="3" s="1"/>
  <c r="D113" i="3"/>
  <c r="H58" i="3"/>
  <c r="I58" i="3"/>
  <c r="H73" i="3"/>
  <c r="N73" i="3" s="1"/>
  <c r="I77" i="3"/>
  <c r="L101" i="3"/>
  <c r="F90" i="3"/>
  <c r="F72" i="3"/>
  <c r="F100" i="3"/>
  <c r="F78" i="3"/>
  <c r="F69" i="3"/>
  <c r="F57" i="3"/>
  <c r="M58" i="3"/>
  <c r="D107" i="3"/>
  <c r="D108" i="3" s="1"/>
  <c r="D112" i="3"/>
  <c r="F40" i="3"/>
  <c r="H10" i="3"/>
  <c r="H36" i="3" s="1"/>
  <c r="H40" i="3" s="1"/>
  <c r="G36" i="3"/>
  <c r="G40" i="3" s="1"/>
  <c r="F41" i="3"/>
  <c r="F35" i="3"/>
  <c r="H11" i="3"/>
  <c r="H37" i="3" s="1"/>
  <c r="G37" i="3"/>
  <c r="E39" i="3"/>
  <c r="E103" i="3" s="1"/>
  <c r="F44" i="3" l="1"/>
  <c r="I72" i="13"/>
  <c r="I100" i="13"/>
  <c r="I57" i="13"/>
  <c r="F103" i="13"/>
  <c r="H103" i="13"/>
  <c r="D107" i="13"/>
  <c r="D104" i="13"/>
  <c r="D113" i="13"/>
  <c r="D112" i="13"/>
  <c r="D105" i="13"/>
  <c r="H69" i="13"/>
  <c r="H39" i="12"/>
  <c r="H103" i="12" s="1"/>
  <c r="H57" i="13"/>
  <c r="H44" i="13" s="1"/>
  <c r="H100" i="13"/>
  <c r="N101" i="13"/>
  <c r="H90" i="13"/>
  <c r="D107" i="12"/>
  <c r="D113" i="12"/>
  <c r="D112" i="12"/>
  <c r="D104" i="12"/>
  <c r="D105" i="12" s="1"/>
  <c r="I36" i="13"/>
  <c r="F39" i="12"/>
  <c r="I27" i="12"/>
  <c r="I37" i="12"/>
  <c r="I37" i="13"/>
  <c r="H41" i="13"/>
  <c r="G39" i="13"/>
  <c r="G103" i="13" s="1"/>
  <c r="I27" i="13"/>
  <c r="I73" i="12"/>
  <c r="N73" i="13"/>
  <c r="H78" i="13"/>
  <c r="G44" i="13"/>
  <c r="G78" i="12"/>
  <c r="M101" i="12"/>
  <c r="G90" i="12"/>
  <c r="G100" i="12"/>
  <c r="G57" i="12"/>
  <c r="G69" i="12"/>
  <c r="I101" i="12"/>
  <c r="G72" i="12"/>
  <c r="H35" i="12"/>
  <c r="H40" i="12"/>
  <c r="I69" i="13"/>
  <c r="G40" i="13"/>
  <c r="N58" i="12"/>
  <c r="H101" i="12"/>
  <c r="H78" i="12" s="1"/>
  <c r="I78" i="13"/>
  <c r="I36" i="12"/>
  <c r="G35" i="12"/>
  <c r="G39" i="12" s="1"/>
  <c r="G103" i="12" s="1"/>
  <c r="E117" i="12"/>
  <c r="E119" i="12" s="1"/>
  <c r="E121" i="12" s="1"/>
  <c r="N58" i="3"/>
  <c r="H101" i="3"/>
  <c r="H78" i="3" s="1"/>
  <c r="E113" i="3"/>
  <c r="E104" i="3"/>
  <c r="I73" i="3"/>
  <c r="M101" i="3"/>
  <c r="G100" i="3"/>
  <c r="G78" i="3"/>
  <c r="G69" i="3"/>
  <c r="G90" i="3"/>
  <c r="G72" i="3"/>
  <c r="G57" i="3"/>
  <c r="D117" i="3"/>
  <c r="D119" i="3" s="1"/>
  <c r="E107" i="3"/>
  <c r="E112" i="3"/>
  <c r="I36" i="3"/>
  <c r="F39" i="3"/>
  <c r="F103" i="3" s="1"/>
  <c r="H41" i="3"/>
  <c r="H35" i="3"/>
  <c r="I37" i="3"/>
  <c r="G41" i="3"/>
  <c r="G35" i="3"/>
  <c r="G44" i="3" l="1"/>
  <c r="G112" i="12"/>
  <c r="G107" i="12"/>
  <c r="G108" i="12" s="1"/>
  <c r="G104" i="12"/>
  <c r="G105" i="12" s="1"/>
  <c r="G113" i="12"/>
  <c r="I72" i="12"/>
  <c r="I100" i="12"/>
  <c r="I57" i="12"/>
  <c r="D108" i="12"/>
  <c r="F107" i="13"/>
  <c r="F108" i="13" s="1"/>
  <c r="F113" i="13"/>
  <c r="F112" i="13"/>
  <c r="F117" i="13" s="1"/>
  <c r="F119" i="13" s="1"/>
  <c r="F121" i="13" s="1"/>
  <c r="F104" i="13"/>
  <c r="F105" i="13" s="1"/>
  <c r="H104" i="12"/>
  <c r="H107" i="12"/>
  <c r="H108" i="12" s="1"/>
  <c r="H113" i="12"/>
  <c r="H112" i="12"/>
  <c r="H105" i="12"/>
  <c r="D117" i="13"/>
  <c r="I112" i="13"/>
  <c r="H112" i="13"/>
  <c r="H107" i="13"/>
  <c r="H108" i="13" s="1"/>
  <c r="H104" i="13"/>
  <c r="I104" i="13" s="1"/>
  <c r="H113" i="13"/>
  <c r="I44" i="13"/>
  <c r="I35" i="12"/>
  <c r="G44" i="12"/>
  <c r="F103" i="12"/>
  <c r="I39" i="12"/>
  <c r="D117" i="12"/>
  <c r="D108" i="13"/>
  <c r="I107" i="13"/>
  <c r="I108" i="13" s="1"/>
  <c r="G113" i="13"/>
  <c r="G104" i="13"/>
  <c r="G107" i="13"/>
  <c r="G108" i="13" s="1"/>
  <c r="G112" i="13"/>
  <c r="G105" i="13"/>
  <c r="H69" i="12"/>
  <c r="N101" i="12"/>
  <c r="H100" i="12"/>
  <c r="H90" i="12"/>
  <c r="H57" i="12"/>
  <c r="H72" i="12"/>
  <c r="I69" i="12"/>
  <c r="J57" i="13"/>
  <c r="I78" i="12"/>
  <c r="I103" i="13"/>
  <c r="I39" i="13"/>
  <c r="F113" i="3"/>
  <c r="F104" i="3"/>
  <c r="H72" i="3"/>
  <c r="H100" i="3"/>
  <c r="H90" i="3"/>
  <c r="I101" i="3"/>
  <c r="H69" i="3"/>
  <c r="N101" i="3"/>
  <c r="H57" i="3"/>
  <c r="E117" i="3"/>
  <c r="F107" i="3"/>
  <c r="F108" i="3" s="1"/>
  <c r="F112" i="3"/>
  <c r="G39" i="3"/>
  <c r="G103" i="3" s="1"/>
  <c r="F105" i="3"/>
  <c r="H39" i="3"/>
  <c r="H103" i="3" s="1"/>
  <c r="I35" i="3"/>
  <c r="E108" i="3"/>
  <c r="E105" i="3"/>
  <c r="D121" i="3"/>
  <c r="H44" i="3" l="1"/>
  <c r="D119" i="12"/>
  <c r="I113" i="13"/>
  <c r="I113" i="12"/>
  <c r="G117" i="13"/>
  <c r="G119" i="13" s="1"/>
  <c r="G121" i="13" s="1"/>
  <c r="I44" i="12"/>
  <c r="F107" i="12"/>
  <c r="F104" i="12"/>
  <c r="F105" i="12" s="1"/>
  <c r="F113" i="12"/>
  <c r="F112" i="12"/>
  <c r="I103" i="12"/>
  <c r="I105" i="12"/>
  <c r="D119" i="13"/>
  <c r="H44" i="12"/>
  <c r="J57" i="12"/>
  <c r="H105" i="13"/>
  <c r="I105" i="13" s="1"/>
  <c r="H117" i="13"/>
  <c r="H118" i="13" s="1"/>
  <c r="H119" i="13" s="1"/>
  <c r="H121" i="13" s="1"/>
  <c r="H117" i="12"/>
  <c r="H118" i="12" s="1"/>
  <c r="H119" i="12" s="1"/>
  <c r="H121" i="12" s="1"/>
  <c r="G117" i="12"/>
  <c r="G119" i="12" s="1"/>
  <c r="G121" i="12" s="1"/>
  <c r="H113" i="3"/>
  <c r="H104" i="3"/>
  <c r="G113" i="3"/>
  <c r="G104" i="3"/>
  <c r="I69" i="3"/>
  <c r="I100" i="3"/>
  <c r="I78" i="3"/>
  <c r="I72" i="3"/>
  <c r="I57" i="3"/>
  <c r="F117" i="3"/>
  <c r="F119" i="3" s="1"/>
  <c r="F121" i="3" s="1"/>
  <c r="G107" i="3"/>
  <c r="G112" i="3"/>
  <c r="H107" i="3"/>
  <c r="H108" i="3" s="1"/>
  <c r="H112" i="3"/>
  <c r="I103" i="3"/>
  <c r="I39" i="3"/>
  <c r="H105" i="3"/>
  <c r="E119" i="3"/>
  <c r="I44" i="3" l="1"/>
  <c r="F108" i="12"/>
  <c r="I107" i="12"/>
  <c r="I108" i="12" s="1"/>
  <c r="D121" i="13"/>
  <c r="D127" i="13"/>
  <c r="H123" i="13" a="1"/>
  <c r="H123" i="13" s="1"/>
  <c r="F117" i="12"/>
  <c r="I112" i="12"/>
  <c r="I117" i="13"/>
  <c r="I104" i="12"/>
  <c r="D121" i="12"/>
  <c r="J57" i="3"/>
  <c r="H117" i="3"/>
  <c r="H118" i="3" s="1"/>
  <c r="H119" i="3" s="1"/>
  <c r="H121" i="3" s="1"/>
  <c r="G117" i="3"/>
  <c r="I113" i="3"/>
  <c r="I112" i="3"/>
  <c r="E121" i="3"/>
  <c r="G105" i="3"/>
  <c r="I105" i="3" s="1"/>
  <c r="I104" i="3"/>
  <c r="G108" i="3"/>
  <c r="I107" i="3"/>
  <c r="I108" i="3" s="1"/>
  <c r="F119" i="12" l="1"/>
  <c r="I117" i="12"/>
  <c r="H124" i="13"/>
  <c r="H130" i="13"/>
  <c r="G119" i="3"/>
  <c r="H123" i="3" s="1" a="1"/>
  <c r="I117" i="3"/>
  <c r="F121" i="12" l="1"/>
  <c r="D127" i="12"/>
  <c r="H123" i="12" a="1"/>
  <c r="H123" i="12" s="1"/>
  <c r="G121" i="3"/>
  <c r="H123" i="3"/>
  <c r="D127" i="3"/>
  <c r="H124" i="12" l="1"/>
  <c r="H130" i="12"/>
  <c r="H124" i="3"/>
  <c r="H1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Maciel</author>
    <author/>
    <author>Sebastian Kochnowicz</author>
  </authors>
  <commentList>
    <comment ref="B113" authorId="0" shapeId="0" xr:uid="{4E6F497F-9B47-4713-BC79-EEE9A93D4BA6}">
      <text>
        <r>
          <rPr>
            <b/>
            <sz val="9"/>
            <color indexed="81"/>
            <rFont val="Tahoma"/>
            <family val="2"/>
          </rPr>
          <t>Fernanda Maciel:</t>
        </r>
        <r>
          <rPr>
            <sz val="9"/>
            <color indexed="81"/>
            <rFont val="Tahoma"/>
            <family val="2"/>
          </rPr>
          <t xml:space="preserve">
En españa Tax 25%</t>
        </r>
      </text>
    </comment>
    <comment ref="B114" authorId="1" shapeId="0" xr:uid="{40791F51-A744-433E-AB98-019C7494D1CD}">
      <text>
        <r>
          <rPr>
            <sz val="11"/>
            <color rgb="FF000000"/>
            <rFont val="Arial"/>
            <family val="2"/>
          </rPr>
          <t>No se contempla NOF porque sería un efecto temporal.</t>
        </r>
      </text>
    </comment>
    <comment ref="B115" authorId="1" shapeId="0" xr:uid="{385FC61B-FC58-4746-AA8C-2DEBE7411367}">
      <text>
        <r>
          <rPr>
            <sz val="11"/>
            <color theme="1"/>
            <rFont val="Arial"/>
            <family val="2"/>
          </rPr>
          <t>======
ID#AAAAEDCkHg8
Usuario de Windows    (2019-12-09 23:45:52)
Cobramos a 90 días.
Pagamos a 30 días.</t>
        </r>
      </text>
    </comment>
    <comment ref="C117" authorId="1" shapeId="0" xr:uid="{EA23AEFE-24CA-43A0-910F-58966F74B794}">
      <text>
        <r>
          <rPr>
            <sz val="11"/>
            <color rgb="FF000000"/>
            <rFont val="Arial"/>
            <family val="2"/>
          </rPr>
          <t xml:space="preserve">Inversión en bienes de capital para comenzar el proyecto.
</t>
        </r>
        <r>
          <rPr>
            <sz val="11"/>
            <color rgb="FF000000"/>
            <rFont val="Arial"/>
            <family val="2"/>
          </rPr>
          <t>xxxxx meses del primer año para darle estabilidad a la operación.</t>
        </r>
      </text>
    </comment>
    <comment ref="H118" authorId="2" shapeId="0" xr:uid="{AFCAE520-489E-6344-B115-18528424F08B}">
      <text>
        <r>
          <rPr>
            <sz val="10"/>
            <color rgb="FF000000"/>
            <rFont val="Tahoma"/>
            <family val="2"/>
          </rPr>
          <t>No aplica el cálculo de la perpetuidad al tratarse de un servicio 'one time' que no implica flujos futuros por servicio post-venta.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Maciel</author>
    <author/>
    <author>Sebastian Kochnowicz</author>
  </authors>
  <commentList>
    <comment ref="B113" authorId="0" shapeId="0" xr:uid="{1E34BFD9-46D7-8248-83FB-54218DA2EBD5}">
      <text>
        <r>
          <rPr>
            <b/>
            <sz val="9"/>
            <color indexed="81"/>
            <rFont val="Tahoma"/>
            <family val="2"/>
          </rPr>
          <t>Fernanda Maciel:</t>
        </r>
        <r>
          <rPr>
            <sz val="9"/>
            <color indexed="81"/>
            <rFont val="Tahoma"/>
            <family val="2"/>
          </rPr>
          <t xml:space="preserve">
En españa Tax 25%</t>
        </r>
      </text>
    </comment>
    <comment ref="B114" authorId="1" shapeId="0" xr:uid="{623553BA-4CE2-6047-83BD-F1CF8D265659}">
      <text>
        <r>
          <rPr>
            <sz val="11"/>
            <color rgb="FF000000"/>
            <rFont val="Arial"/>
            <family val="2"/>
          </rPr>
          <t>No se contempla NOF porque sería un efecto temporal.</t>
        </r>
      </text>
    </comment>
    <comment ref="B115" authorId="1" shapeId="0" xr:uid="{49F97FDF-604A-5743-A868-CF0D66295BAC}">
      <text>
        <r>
          <rPr>
            <sz val="11"/>
            <color theme="1"/>
            <rFont val="Arial"/>
            <family val="2"/>
          </rPr>
          <t>======
ID#AAAAEDCkHg8
Usuario de Windows    (2019-12-09 23:45:52)
Cobramos a 90 días.
Pagamos a 30 días.</t>
        </r>
      </text>
    </comment>
    <comment ref="C117" authorId="1" shapeId="0" xr:uid="{45C3E909-B264-7E46-8FC4-DB804E45B253}">
      <text>
        <r>
          <rPr>
            <sz val="11"/>
            <color rgb="FF000000"/>
            <rFont val="Arial"/>
            <family val="2"/>
          </rPr>
          <t xml:space="preserve">Inversión en bienes de capital para comenzar el proyecto.
</t>
        </r>
        <r>
          <rPr>
            <sz val="11"/>
            <color rgb="FF000000"/>
            <rFont val="Arial"/>
            <family val="2"/>
          </rPr>
          <t>xxxxx meses del primer año para darle estabilidad a la operación.</t>
        </r>
      </text>
    </comment>
    <comment ref="H118" authorId="2" shapeId="0" xr:uid="{F3F7BA4C-3ECC-2B46-A3AB-5B5A5A2A51EF}">
      <text>
        <r>
          <rPr>
            <sz val="10"/>
            <color rgb="FF000000"/>
            <rFont val="Tahoma"/>
            <family val="2"/>
          </rPr>
          <t>No aplica el cálculo de la perpetuidad al tratarse de un servicio 'one time' que no implica flujos futuros por servicio post-venta.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Maciel</author>
    <author/>
    <author>Sebastian Kochnowicz</author>
  </authors>
  <commentList>
    <comment ref="B113" authorId="0" shapeId="0" xr:uid="{F1B8CDBA-8716-1544-847E-56B711595E0C}">
      <text>
        <r>
          <rPr>
            <b/>
            <sz val="9"/>
            <color indexed="81"/>
            <rFont val="Tahoma"/>
            <family val="2"/>
          </rPr>
          <t>Fernanda Maciel:</t>
        </r>
        <r>
          <rPr>
            <sz val="9"/>
            <color indexed="81"/>
            <rFont val="Tahoma"/>
            <family val="2"/>
          </rPr>
          <t xml:space="preserve">
En españa Tax 25%</t>
        </r>
      </text>
    </comment>
    <comment ref="B114" authorId="1" shapeId="0" xr:uid="{74FAF131-5817-5048-A3A5-F6559110E553}">
      <text>
        <r>
          <rPr>
            <sz val="11"/>
            <color rgb="FF000000"/>
            <rFont val="Arial"/>
            <family val="2"/>
          </rPr>
          <t>No se contempla NOF porque sería un efecto temporal.</t>
        </r>
      </text>
    </comment>
    <comment ref="B115" authorId="1" shapeId="0" xr:uid="{0D842F98-FFBE-D749-9228-F295AF34A13F}">
      <text>
        <r>
          <rPr>
            <sz val="11"/>
            <color theme="1"/>
            <rFont val="Arial"/>
            <family val="2"/>
          </rPr>
          <t>======
ID#AAAAEDCkHg8
Usuario de Windows    (2019-12-09 23:45:52)
Cobramos a 90 días.
Pagamos a 30 días.</t>
        </r>
      </text>
    </comment>
    <comment ref="C117" authorId="1" shapeId="0" xr:uid="{754E168B-BC9A-6443-85D2-DD7E1581FB64}">
      <text>
        <r>
          <rPr>
            <sz val="11"/>
            <color rgb="FF000000"/>
            <rFont val="Arial"/>
            <family val="2"/>
          </rPr>
          <t xml:space="preserve">Inversión en bienes de capital para comenzar el proyecto.
</t>
        </r>
        <r>
          <rPr>
            <sz val="11"/>
            <color rgb="FF000000"/>
            <rFont val="Arial"/>
            <family val="2"/>
          </rPr>
          <t>xxxxx meses del primer año para darle estabilidad a la operación.</t>
        </r>
      </text>
    </comment>
    <comment ref="H118" authorId="2" shapeId="0" xr:uid="{5E932BA2-44FE-C649-9743-4569312F1772}">
      <text>
        <r>
          <rPr>
            <sz val="10"/>
            <color rgb="FF000000"/>
            <rFont val="Tahoma"/>
            <family val="2"/>
          </rPr>
          <t>No aplica el cálculo de la perpetuidad al tratarse de un servicio 'one time' que no implica flujos futuros por servicio post-venta.</t>
        </r>
      </text>
    </comment>
  </commentList>
</comments>
</file>

<file path=xl/sharedStrings.xml><?xml version="1.0" encoding="utf-8"?>
<sst xmlns="http://schemas.openxmlformats.org/spreadsheetml/2006/main" count="561" uniqueCount="158">
  <si>
    <t>Precio</t>
  </si>
  <si>
    <t>Accion MKT</t>
  </si>
  <si>
    <t>Full</t>
  </si>
  <si>
    <t>Básico</t>
  </si>
  <si>
    <t>Costo de generar contenidos</t>
  </si>
  <si>
    <t>articulos promocionales en motos.net</t>
  </si>
  <si>
    <t>articulos promocionales en ong</t>
  </si>
  <si>
    <t>colocacion banners en agencias</t>
  </si>
  <si>
    <t>articulos promocionales en motos x el mundo</t>
  </si>
  <si>
    <t>costo de publicidad en webs</t>
  </si>
  <si>
    <t>costos estructurales</t>
  </si>
  <si>
    <t>Fyers y colocacion  10 dias x 1000</t>
  </si>
  <si>
    <t>costo social media</t>
  </si>
  <si>
    <t xml:space="preserve"> influencers</t>
  </si>
  <si>
    <t>Banners costo de hacerlos x 10</t>
  </si>
  <si>
    <t>Equivalencia inversión c/r Valor Negocio</t>
  </si>
  <si>
    <t>TIR</t>
  </si>
  <si>
    <t>Crecimento</t>
  </si>
  <si>
    <t>Tasa corte (ku)</t>
  </si>
  <si>
    <t>Valor negocio</t>
  </si>
  <si>
    <t>FFD</t>
  </si>
  <si>
    <t>FFL+VR</t>
  </si>
  <si>
    <t>VR</t>
  </si>
  <si>
    <t>FFL</t>
  </si>
  <si>
    <t xml:space="preserve"> - CAPEX</t>
  </si>
  <si>
    <t>NOF</t>
  </si>
  <si>
    <t xml:space="preserve"> +/- Var NOF</t>
  </si>
  <si>
    <t xml:space="preserve"> -IIGG</t>
  </si>
  <si>
    <t>EBITDA</t>
  </si>
  <si>
    <t>Año 5</t>
  </si>
  <si>
    <t>Año 4</t>
  </si>
  <si>
    <t>Año 3</t>
  </si>
  <si>
    <t>Año 2</t>
  </si>
  <si>
    <t>Año 1</t>
  </si>
  <si>
    <t>Valuación por FFD</t>
  </si>
  <si>
    <t>Total</t>
  </si>
  <si>
    <t>Mg EBITDA</t>
  </si>
  <si>
    <t>EBIAT</t>
  </si>
  <si>
    <t>EBIT</t>
  </si>
  <si>
    <t>Total Costos +  Gastos</t>
  </si>
  <si>
    <t>Sueldos</t>
  </si>
  <si>
    <t>Ventas netas</t>
  </si>
  <si>
    <t>Costos</t>
  </si>
  <si>
    <t>Ventas</t>
  </si>
  <si>
    <t>Set up</t>
  </si>
  <si>
    <t>Margenes</t>
  </si>
  <si>
    <t>Q grabados</t>
  </si>
  <si>
    <t>Precio de venta</t>
  </si>
  <si>
    <t>total</t>
  </si>
  <si>
    <t>$</t>
  </si>
  <si>
    <t>stiker</t>
  </si>
  <si>
    <t>Margen Bruto</t>
  </si>
  <si>
    <t>Precio Neto</t>
  </si>
  <si>
    <t>Estándar</t>
  </si>
  <si>
    <t>descuento anticipado</t>
  </si>
  <si>
    <t>contra entrega</t>
  </si>
  <si>
    <t>Desarrollo web</t>
  </si>
  <si>
    <t>Sueldo</t>
  </si>
  <si>
    <t>Hs MO</t>
  </si>
  <si>
    <t>Desarne</t>
  </si>
  <si>
    <t>Grabado</t>
  </si>
  <si>
    <t>Armado</t>
  </si>
  <si>
    <t>Total HsMO</t>
  </si>
  <si>
    <t xml:space="preserve">Costo MO </t>
  </si>
  <si>
    <t>Valor USD</t>
  </si>
  <si>
    <t>Valor EU</t>
  </si>
  <si>
    <t>Veces x año</t>
  </si>
  <si>
    <t>Mantenimiento</t>
  </si>
  <si>
    <t>Crecimiento</t>
  </si>
  <si>
    <t>Motos x dia</t>
  </si>
  <si>
    <t>Costo x moto grabada</t>
  </si>
  <si>
    <t>*La Q de compras c descuento crecerá en el tiempo, x  crecimiento de confianza en la empresa</t>
  </si>
  <si>
    <t>Suponemos p el calculo q 50% seran Full y 50% serán Estándar</t>
  </si>
  <si>
    <t>Q Descuento pago anticipado*</t>
  </si>
  <si>
    <t>Full 50%Q</t>
  </si>
  <si>
    <t>Articulos promocionales en motos.net</t>
  </si>
  <si>
    <t>Articulos promocionales en ong</t>
  </si>
  <si>
    <t>Articulos promocionales en motos x el mundo</t>
  </si>
  <si>
    <t>Costo Social Media</t>
  </si>
  <si>
    <t>Influencers</t>
  </si>
  <si>
    <t>Colocacion banners en agencias</t>
  </si>
  <si>
    <t>Banners (hacerlos x 10)</t>
  </si>
  <si>
    <t>Publicidad en webs</t>
  </si>
  <si>
    <t>Iteracion</t>
  </si>
  <si>
    <t>Mes EU</t>
  </si>
  <si>
    <t>Mes USD</t>
  </si>
  <si>
    <t>Alquiler del local</t>
  </si>
  <si>
    <t>Telefono</t>
  </si>
  <si>
    <t>Varios</t>
  </si>
  <si>
    <t>Recepcionista /telefonista</t>
  </si>
  <si>
    <t>Operativo taller</t>
  </si>
  <si>
    <t>CEO</t>
  </si>
  <si>
    <t>CFO</t>
  </si>
  <si>
    <t xml:space="preserve">Gestoria </t>
  </si>
  <si>
    <t>Gestoria</t>
  </si>
  <si>
    <t>Varios / mantenimiento</t>
  </si>
  <si>
    <t>Varios / Mantenimiento</t>
  </si>
  <si>
    <t>Terceros</t>
  </si>
  <si>
    <t xml:space="preserve">Año 1 </t>
  </si>
  <si>
    <t>Bienes de Capital</t>
  </si>
  <si>
    <t>Kit herramientas</t>
  </si>
  <si>
    <t>Banco Moto</t>
  </si>
  <si>
    <t>Laser</t>
  </si>
  <si>
    <t>EU</t>
  </si>
  <si>
    <t>USD</t>
  </si>
  <si>
    <t>Computadora</t>
  </si>
  <si>
    <t>Impresora Stikers</t>
  </si>
  <si>
    <t>Stikers (1000)</t>
  </si>
  <si>
    <t>5 años</t>
  </si>
  <si>
    <t>depreciac</t>
  </si>
  <si>
    <t>2 años</t>
  </si>
  <si>
    <t>Operativo taller 1</t>
  </si>
  <si>
    <t>Operativo taller 2</t>
  </si>
  <si>
    <t>Operativo taller 3</t>
  </si>
  <si>
    <t>Operativo taller 6</t>
  </si>
  <si>
    <t>CFO Y COO</t>
  </si>
  <si>
    <t>Operativo taller coordinador</t>
  </si>
  <si>
    <t>Luz</t>
  </si>
  <si>
    <t>incremento consumo luz</t>
  </si>
  <si>
    <t>Costo Fijos</t>
  </si>
  <si>
    <t>(uno antes y uno durante)</t>
  </si>
  <si>
    <t>(ojo 1 antes y uno durante)</t>
  </si>
  <si>
    <t>aumento de sueldo en el t</t>
  </si>
  <si>
    <t>comprar 1</t>
  </si>
  <si>
    <t>comprar 2</t>
  </si>
  <si>
    <t>Láser 1</t>
  </si>
  <si>
    <t>Láser 2</t>
  </si>
  <si>
    <t>Láser 3</t>
  </si>
  <si>
    <t>Q Objetivo</t>
  </si>
  <si>
    <t>Depreciaciones en 5 años</t>
  </si>
  <si>
    <t>Básico 50%Q</t>
  </si>
  <si>
    <t>Computadora 1</t>
  </si>
  <si>
    <t>Computadora 2</t>
  </si>
  <si>
    <t>Var 2/1</t>
  </si>
  <si>
    <t>Var 3/2</t>
  </si>
  <si>
    <t>Var 4/3</t>
  </si>
  <si>
    <t>Var 5/4</t>
  </si>
  <si>
    <t>Gastos MKT</t>
  </si>
  <si>
    <t>Total Añ0 1-5</t>
  </si>
  <si>
    <t>No aplica el cálculo de la perpetuidad al tratarse de un servicio 'one time' que no implica flujos futuros por servicio post-venta.</t>
  </si>
  <si>
    <t>Mg  Bruto Básico</t>
  </si>
  <si>
    <t>Mg Bruto Full</t>
  </si>
  <si>
    <t>por naturaleza del negocio no tengo nof</t>
  </si>
  <si>
    <t>pago y cobro en los 30 días</t>
  </si>
  <si>
    <t>Q grabados Básico x Dia x Operario</t>
  </si>
  <si>
    <t>Q grabados Full x Dia x Operario</t>
  </si>
  <si>
    <t>Cantidad de MO</t>
  </si>
  <si>
    <t>Operarios (MO-CEO)</t>
  </si>
  <si>
    <t>Manejo de Láser (CEO)</t>
  </si>
  <si>
    <t>Q Motos x dia</t>
  </si>
  <si>
    <t>Q Básico</t>
  </si>
  <si>
    <t>Q Full</t>
  </si>
  <si>
    <t>Operativo taller 7</t>
  </si>
  <si>
    <t xml:space="preserve">Operativo taller 4  </t>
  </si>
  <si>
    <t>Operativo taller 5 coordinador</t>
  </si>
  <si>
    <t>No aplica</t>
  </si>
  <si>
    <t>IIGG (25%)</t>
  </si>
  <si>
    <t>Detalle informativo sobre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</si>
</sst>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[$USD]\ #,##0;[Red]\-[$USD]\ #,##0"/>
    <numFmt numFmtId="165" formatCode="_-* #,##0.00\ [$€-C0A]_-;\-* #,##0.00\ [$€-C0A]_-;_-* &quot;-&quot;??\ [$€-C0A]_-;_-@_-"/>
    <numFmt numFmtId="166" formatCode="_-[$USD]\ * #,##0.00_-;\-[$USD]\ * #,##0.00_-;_-[$USD]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A5A5A5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Tahoma"/>
      <family val="2"/>
    </font>
    <font>
      <i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color theme="1" tint="0.34998626667073579"/>
      <name val="Calibri"/>
      <family val="2"/>
    </font>
    <font>
      <b/>
      <i/>
      <sz val="11"/>
      <color theme="1" tint="0.34998626667073579"/>
      <name val="Calibri"/>
      <family val="2"/>
    </font>
    <font>
      <i/>
      <sz val="11"/>
      <color theme="1" tint="0.34998626667073579"/>
      <name val="Arial"/>
      <family val="2"/>
    </font>
    <font>
      <i/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99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37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3" fontId="0" fillId="0" borderId="1" xfId="0" applyNumberFormat="1" applyBorder="1"/>
    <xf numFmtId="0" fontId="2" fillId="0" borderId="1" xfId="0" applyFont="1" applyBorder="1"/>
    <xf numFmtId="0" fontId="3" fillId="0" borderId="0" xfId="3"/>
    <xf numFmtId="9" fontId="4" fillId="2" borderId="2" xfId="3" applyNumberFormat="1" applyFont="1" applyFill="1" applyBorder="1" applyAlignment="1">
      <alignment horizontal="center"/>
    </xf>
    <xf numFmtId="0" fontId="4" fillId="2" borderId="4" xfId="3" applyFont="1" applyFill="1" applyBorder="1"/>
    <xf numFmtId="0" fontId="4" fillId="2" borderId="3" xfId="3" applyFont="1" applyFill="1" applyBorder="1"/>
    <xf numFmtId="3" fontId="4" fillId="3" borderId="0" xfId="3" applyNumberFormat="1" applyFont="1" applyFill="1" applyAlignment="1">
      <alignment horizontal="center"/>
    </xf>
    <xf numFmtId="0" fontId="4" fillId="3" borderId="0" xfId="3" applyFont="1" applyFill="1" applyAlignment="1">
      <alignment horizontal="left"/>
    </xf>
    <xf numFmtId="9" fontId="4" fillId="3" borderId="0" xfId="3" applyNumberFormat="1" applyFont="1" applyFill="1" applyAlignment="1">
      <alignment horizontal="center"/>
    </xf>
    <xf numFmtId="0" fontId="5" fillId="3" borderId="0" xfId="3" applyFont="1" applyFill="1"/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8" fontId="5" fillId="0" borderId="0" xfId="3" applyNumberFormat="1" applyFont="1" applyAlignment="1">
      <alignment horizontal="center"/>
    </xf>
    <xf numFmtId="0" fontId="4" fillId="3" borderId="0" xfId="3" applyFont="1" applyFill="1" applyAlignment="1">
      <alignment horizontal="center"/>
    </xf>
    <xf numFmtId="4" fontId="6" fillId="0" borderId="0" xfId="3" applyNumberFormat="1" applyFont="1" applyAlignment="1">
      <alignment horizontal="center"/>
    </xf>
    <xf numFmtId="164" fontId="7" fillId="4" borderId="0" xfId="3" applyNumberFormat="1" applyFont="1" applyFill="1" applyAlignment="1">
      <alignment horizontal="center"/>
    </xf>
    <xf numFmtId="0" fontId="7" fillId="4" borderId="0" xfId="3" applyFont="1" applyFill="1" applyAlignment="1">
      <alignment horizontal="center"/>
    </xf>
    <xf numFmtId="0" fontId="7" fillId="4" borderId="0" xfId="3" applyFont="1" applyFill="1" applyAlignment="1">
      <alignment horizontal="left"/>
    </xf>
    <xf numFmtId="164" fontId="4" fillId="0" borderId="0" xfId="3" applyNumberFormat="1" applyFont="1" applyAlignment="1">
      <alignment horizontal="center"/>
    </xf>
    <xf numFmtId="4" fontId="4" fillId="0" borderId="0" xfId="3" applyNumberFormat="1" applyFont="1" applyAlignment="1">
      <alignment horizontal="center"/>
    </xf>
    <xf numFmtId="164" fontId="4" fillId="2" borderId="0" xfId="3" applyNumberFormat="1" applyFont="1" applyFill="1" applyAlignment="1">
      <alignment horizontal="center"/>
    </xf>
    <xf numFmtId="164" fontId="4" fillId="2" borderId="0" xfId="3" applyNumberFormat="1" applyFont="1" applyFill="1"/>
    <xf numFmtId="0" fontId="4" fillId="2" borderId="0" xfId="3" applyFont="1" applyFill="1" applyAlignment="1">
      <alignment horizontal="left"/>
    </xf>
    <xf numFmtId="4" fontId="5" fillId="0" borderId="0" xfId="3" applyNumberFormat="1" applyFont="1" applyAlignment="1">
      <alignment horizontal="center"/>
    </xf>
    <xf numFmtId="0" fontId="4" fillId="0" borderId="0" xfId="3" applyFont="1" applyAlignment="1">
      <alignment horizontal="left"/>
    </xf>
    <xf numFmtId="164" fontId="5" fillId="0" borderId="0" xfId="3" applyNumberFormat="1" applyFont="1"/>
    <xf numFmtId="0" fontId="5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8" fillId="0" borderId="0" xfId="3" applyFont="1" applyAlignment="1">
      <alignment horizontal="left"/>
    </xf>
    <xf numFmtId="9" fontId="4" fillId="0" borderId="0" xfId="3" applyNumberFormat="1" applyFont="1" applyAlignment="1">
      <alignment horizontal="center"/>
    </xf>
    <xf numFmtId="164" fontId="4" fillId="0" borderId="0" xfId="3" applyNumberFormat="1" applyFont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164" fontId="7" fillId="4" borderId="0" xfId="3" applyNumberFormat="1" applyFont="1" applyFill="1"/>
    <xf numFmtId="0" fontId="10" fillId="0" borderId="0" xfId="3" applyFont="1" applyAlignment="1">
      <alignment horizontal="left"/>
    </xf>
    <xf numFmtId="164" fontId="5" fillId="0" borderId="0" xfId="3" applyNumberFormat="1" applyFont="1" applyAlignment="1">
      <alignment horizontal="center"/>
    </xf>
    <xf numFmtId="0" fontId="4" fillId="2" borderId="0" xfId="3" applyFont="1" applyFill="1" applyAlignment="1">
      <alignment horizontal="center"/>
    </xf>
    <xf numFmtId="9" fontId="5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9" fontId="4" fillId="0" borderId="0" xfId="3" applyNumberFormat="1" applyFont="1" applyAlignment="1">
      <alignment horizontal="left"/>
    </xf>
    <xf numFmtId="0" fontId="5" fillId="0" borderId="0" xfId="3" applyFont="1"/>
    <xf numFmtId="9" fontId="4" fillId="0" borderId="0" xfId="2" applyFont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4" fillId="0" borderId="1" xfId="3" applyFont="1" applyBorder="1" applyAlignment="1">
      <alignment horizontal="center"/>
    </xf>
    <xf numFmtId="9" fontId="4" fillId="0" borderId="1" xfId="3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right"/>
    </xf>
    <xf numFmtId="9" fontId="4" fillId="0" borderId="1" xfId="2" applyFont="1" applyBorder="1" applyAlignment="1">
      <alignment horizontal="right"/>
    </xf>
    <xf numFmtId="0" fontId="5" fillId="2" borderId="0" xfId="3" applyFont="1" applyFill="1" applyAlignment="1">
      <alignment horizontal="left"/>
    </xf>
    <xf numFmtId="166" fontId="0" fillId="0" borderId="0" xfId="0" applyNumberFormat="1"/>
    <xf numFmtId="165" fontId="0" fillId="0" borderId="1" xfId="1" applyNumberFormat="1" applyFont="1" applyBorder="1"/>
    <xf numFmtId="166" fontId="0" fillId="0" borderId="1" xfId="0" applyNumberFormat="1" applyBorder="1"/>
    <xf numFmtId="0" fontId="2" fillId="0" borderId="1" xfId="0" applyFont="1" applyFill="1" applyBorder="1"/>
    <xf numFmtId="166" fontId="0" fillId="0" borderId="1" xfId="1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9" fontId="4" fillId="0" borderId="0" xfId="2" applyFont="1" applyAlignment="1">
      <alignment vertical="center"/>
    </xf>
    <xf numFmtId="9" fontId="4" fillId="0" borderId="0" xfId="3" applyNumberFormat="1" applyFont="1" applyAlignment="1">
      <alignment vertical="center"/>
    </xf>
    <xf numFmtId="9" fontId="4" fillId="0" borderId="0" xfId="2" applyNumberFormat="1" applyFont="1" applyAlignment="1">
      <alignment vertical="center"/>
    </xf>
    <xf numFmtId="0" fontId="3" fillId="0" borderId="0" xfId="3" applyFill="1"/>
    <xf numFmtId="0" fontId="0" fillId="5" borderId="1" xfId="0" applyFill="1" applyBorder="1"/>
    <xf numFmtId="165" fontId="0" fillId="0" borderId="1" xfId="1" applyNumberFormat="1" applyFont="1" applyFill="1" applyBorder="1"/>
    <xf numFmtId="0" fontId="0" fillId="0" borderId="0" xfId="0" applyFont="1"/>
    <xf numFmtId="166" fontId="0" fillId="0" borderId="6" xfId="0" applyNumberFormat="1" applyBorder="1"/>
    <xf numFmtId="166" fontId="2" fillId="5" borderId="5" xfId="0" applyNumberFormat="1" applyFont="1" applyFill="1" applyBorder="1"/>
    <xf numFmtId="0" fontId="5" fillId="0" borderId="0" xfId="3" applyFont="1" applyAlignment="1">
      <alignment horizontal="left" vertical="center"/>
    </xf>
    <xf numFmtId="9" fontId="0" fillId="0" borderId="0" xfId="2" applyFont="1" applyBorder="1"/>
    <xf numFmtId="0" fontId="7" fillId="6" borderId="0" xfId="3" applyFont="1" applyFill="1" applyAlignment="1">
      <alignment horizontal="left"/>
    </xf>
    <xf numFmtId="164" fontId="7" fillId="6" borderId="0" xfId="3" applyNumberFormat="1" applyFont="1" applyFill="1" applyAlignment="1">
      <alignment horizontal="center"/>
    </xf>
    <xf numFmtId="164" fontId="7" fillId="6" borderId="0" xfId="3" applyNumberFormat="1" applyFont="1" applyFill="1"/>
    <xf numFmtId="0" fontId="11" fillId="6" borderId="0" xfId="3" applyFont="1" applyFill="1" applyAlignment="1">
      <alignment horizontal="left"/>
    </xf>
    <xf numFmtId="0" fontId="9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0" fontId="10" fillId="0" borderId="0" xfId="3" applyFont="1" applyFill="1" applyAlignment="1">
      <alignment horizontal="center"/>
    </xf>
    <xf numFmtId="9" fontId="10" fillId="0" borderId="0" xfId="3" applyNumberFormat="1" applyFont="1" applyFill="1"/>
    <xf numFmtId="164" fontId="5" fillId="2" borderId="0" xfId="3" applyNumberFormat="1" applyFont="1" applyFill="1"/>
    <xf numFmtId="9" fontId="5" fillId="0" borderId="0" xfId="2" applyFont="1" applyAlignment="1">
      <alignment horizontal="center"/>
    </xf>
    <xf numFmtId="0" fontId="12" fillId="0" borderId="0" xfId="3" applyFont="1" applyAlignment="1">
      <alignment horizontal="center"/>
    </xf>
    <xf numFmtId="164" fontId="11" fillId="6" borderId="0" xfId="3" applyNumberFormat="1" applyFont="1" applyFill="1"/>
    <xf numFmtId="9" fontId="9" fillId="0" borderId="0" xfId="2" applyFont="1" applyAlignment="1">
      <alignment horizontal="center"/>
    </xf>
    <xf numFmtId="0" fontId="13" fillId="0" borderId="0" xfId="3" applyFont="1"/>
    <xf numFmtId="0" fontId="14" fillId="0" borderId="0" xfId="0" applyFont="1" applyBorder="1"/>
    <xf numFmtId="9" fontId="14" fillId="0" borderId="0" xfId="2" applyFont="1" applyBorder="1"/>
    <xf numFmtId="164" fontId="9" fillId="0" borderId="0" xfId="3" applyNumberFormat="1" applyFont="1"/>
    <xf numFmtId="0" fontId="14" fillId="0" borderId="0" xfId="0" applyFont="1" applyFill="1" applyBorder="1"/>
    <xf numFmtId="164" fontId="9" fillId="0" borderId="0" xfId="3" applyNumberFormat="1" applyFont="1" applyAlignment="1">
      <alignment horizontal="center"/>
    </xf>
    <xf numFmtId="0" fontId="10" fillId="0" borderId="0" xfId="3" applyFont="1" applyFill="1" applyAlignment="1">
      <alignment horizontal="left"/>
    </xf>
    <xf numFmtId="9" fontId="9" fillId="0" borderId="0" xfId="3" applyNumberFormat="1" applyFont="1" applyFill="1"/>
    <xf numFmtId="0" fontId="13" fillId="0" borderId="0" xfId="3" applyFont="1" applyFill="1"/>
    <xf numFmtId="0" fontId="3" fillId="0" borderId="0" xfId="3" applyFill="1" applyAlignment="1">
      <alignment horizontal="left"/>
    </xf>
    <xf numFmtId="0" fontId="5" fillId="0" borderId="0" xfId="3" applyFont="1" applyFill="1" applyAlignment="1">
      <alignment horizontal="left"/>
    </xf>
    <xf numFmtId="0" fontId="3" fillId="0" borderId="0" xfId="3" applyAlignment="1">
      <alignment horizontal="left"/>
    </xf>
    <xf numFmtId="0" fontId="9" fillId="0" borderId="0" xfId="3" applyFont="1" applyFill="1" applyAlignment="1">
      <alignment horizontal="left"/>
    </xf>
    <xf numFmtId="0" fontId="8" fillId="0" borderId="0" xfId="3" applyFont="1" applyFill="1" applyAlignment="1">
      <alignment horizontal="left"/>
    </xf>
    <xf numFmtId="0" fontId="4" fillId="0" borderId="0" xfId="3" applyFont="1" applyFill="1" applyAlignment="1">
      <alignment horizontal="center"/>
    </xf>
    <xf numFmtId="10" fontId="7" fillId="0" borderId="0" xfId="3" applyNumberFormat="1" applyFont="1" applyAlignment="1">
      <alignment horizontal="center"/>
    </xf>
    <xf numFmtId="164" fontId="7" fillId="0" borderId="0" xfId="3" applyNumberFormat="1" applyFont="1"/>
    <xf numFmtId="0" fontId="17" fillId="0" borderId="0" xfId="3" applyFont="1" applyAlignment="1">
      <alignment horizontal="center"/>
    </xf>
    <xf numFmtId="4" fontId="17" fillId="0" borderId="0" xfId="3" applyNumberFormat="1" applyFont="1" applyAlignment="1">
      <alignment horizontal="center"/>
    </xf>
    <xf numFmtId="165" fontId="0" fillId="0" borderId="0" xfId="1" applyNumberFormat="1" applyFont="1" applyBorder="1"/>
    <xf numFmtId="166" fontId="2" fillId="0" borderId="1" xfId="0" applyNumberFormat="1" applyFont="1" applyBorder="1"/>
    <xf numFmtId="0" fontId="18" fillId="6" borderId="1" xfId="0" applyFont="1" applyFill="1" applyBorder="1"/>
    <xf numFmtId="0" fontId="18" fillId="6" borderId="1" xfId="0" applyFont="1" applyFill="1" applyBorder="1" applyAlignment="1">
      <alignment horizontal="center" vertical="center"/>
    </xf>
    <xf numFmtId="9" fontId="2" fillId="0" borderId="1" xfId="2" applyFont="1" applyBorder="1"/>
    <xf numFmtId="0" fontId="4" fillId="0" borderId="0" xfId="3" applyFont="1" applyFill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7" xfId="0" applyFont="1" applyBorder="1"/>
    <xf numFmtId="0" fontId="2" fillId="0" borderId="0" xfId="0" applyFont="1" applyBorder="1"/>
    <xf numFmtId="10" fontId="20" fillId="0" borderId="0" xfId="3" applyNumberFormat="1" applyFont="1" applyAlignment="1">
      <alignment horizontal="center"/>
    </xf>
    <xf numFmtId="164" fontId="21" fillId="0" borderId="0" xfId="3" applyNumberFormat="1" applyFont="1"/>
    <xf numFmtId="164" fontId="20" fillId="0" borderId="0" xfId="3" applyNumberFormat="1" applyFont="1"/>
    <xf numFmtId="10" fontId="4" fillId="0" borderId="0" xfId="3" applyNumberFormat="1" applyFont="1" applyAlignment="1">
      <alignment horizontal="center"/>
    </xf>
    <xf numFmtId="164" fontId="10" fillId="0" borderId="0" xfId="3" applyNumberFormat="1" applyFont="1"/>
    <xf numFmtId="9" fontId="23" fillId="0" borderId="0" xfId="3" applyNumberFormat="1" applyFont="1" applyFill="1"/>
    <xf numFmtId="9" fontId="24" fillId="0" borderId="0" xfId="3" applyNumberFormat="1" applyFont="1" applyFill="1"/>
    <xf numFmtId="0" fontId="23" fillId="0" borderId="0" xfId="3" applyFont="1" applyFill="1" applyAlignment="1">
      <alignment horizontal="left"/>
    </xf>
    <xf numFmtId="0" fontId="25" fillId="0" borderId="0" xfId="3" applyFont="1" applyAlignment="1">
      <alignment horizontal="center"/>
    </xf>
    <xf numFmtId="0" fontId="26" fillId="7" borderId="0" xfId="3" applyFont="1" applyFill="1" applyAlignment="1">
      <alignment horizontal="left"/>
    </xf>
    <xf numFmtId="164" fontId="26" fillId="7" borderId="0" xfId="3" applyNumberFormat="1" applyFont="1" applyFill="1"/>
    <xf numFmtId="0" fontId="25" fillId="0" borderId="0" xfId="3" applyFont="1" applyAlignment="1">
      <alignment horizontal="left"/>
    </xf>
    <xf numFmtId="9" fontId="25" fillId="0" borderId="0" xfId="2" applyFont="1" applyAlignment="1">
      <alignment horizontal="center"/>
    </xf>
    <xf numFmtId="0" fontId="27" fillId="0" borderId="0" xfId="3" applyFont="1"/>
    <xf numFmtId="0" fontId="28" fillId="0" borderId="0" xfId="0" applyFont="1" applyBorder="1"/>
    <xf numFmtId="164" fontId="25" fillId="0" borderId="0" xfId="3" applyNumberFormat="1" applyFont="1"/>
    <xf numFmtId="164" fontId="26" fillId="0" borderId="0" xfId="3" applyNumberFormat="1" applyFont="1"/>
    <xf numFmtId="0" fontId="28" fillId="0" borderId="0" xfId="0" applyFont="1" applyFill="1" applyBorder="1"/>
  </cellXfs>
  <cellStyles count="4">
    <cellStyle name="Moneda" xfId="1" builtinId="4"/>
    <cellStyle name="Normal" xfId="0" builtinId="0"/>
    <cellStyle name="Normal 2" xfId="3" xr:uid="{05BEAEC3-5DAE-431F-ABE0-D5A98ADFAEDD}"/>
    <cellStyle name="Porcentaje" xfId="2" builtinId="5"/>
  </cellStyles>
  <dxfs count="0"/>
  <tableStyles count="0" defaultTableStyle="TableStyleMedium2" defaultPivotStyle="PivotStyleLight16"/>
  <colors>
    <mruColors>
      <color rgb="FF99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%20Maciel/Desktop/MBA/Tesis/TFG%20MBA%20-%20Vandamme%20-%20Plan%20Financiero%20-%2020191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C"/>
      <sheetName val="Producción"/>
      <sheetName val="Siembra"/>
      <sheetName val="Costo invernadero portatil"/>
      <sheetName val="Escuelas país"/>
      <sheetName val="Flujos_x segmento"/>
      <sheetName val="Flujos_x segmento_x mes Año 1"/>
      <sheetName val="Resumen Eco-Fin"/>
      <sheetName val="Pautas macro"/>
      <sheetName val="Inversión incial"/>
      <sheetName val="Ventas proyectadas"/>
      <sheetName val="Hoja1"/>
      <sheetName val="CotizacionesBCRA"/>
      <sheetName val="Datos F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2">
          <cell r="P162">
            <v>-1305.483029</v>
          </cell>
        </row>
        <row r="171">
          <cell r="P171">
            <v>0.15</v>
          </cell>
        </row>
        <row r="172">
          <cell r="P172">
            <v>0.02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A9DE1-8800-4222-8CED-467F7AEDA0CF}">
  <dimension ref="B1:O73"/>
  <sheetViews>
    <sheetView showGridLines="0" topLeftCell="E1" workbookViewId="0">
      <selection activeCell="J45" sqref="J45"/>
    </sheetView>
  </sheetViews>
  <sheetFormatPr baseColWidth="10" defaultRowHeight="15" x14ac:dyDescent="0.25"/>
  <cols>
    <col min="1" max="1" width="5.140625" customWidth="1"/>
    <col min="2" max="2" width="13" bestFit="1" customWidth="1"/>
    <col min="3" max="4" width="15.7109375" customWidth="1"/>
    <col min="6" max="6" width="42" bestFit="1" customWidth="1"/>
    <col min="7" max="7" width="12.42578125" bestFit="1" customWidth="1"/>
    <col min="8" max="8" width="14.42578125" bestFit="1" customWidth="1"/>
    <col min="9" max="13" width="15.42578125" bestFit="1" customWidth="1"/>
    <col min="14" max="14" width="14.42578125" bestFit="1" customWidth="1"/>
  </cols>
  <sheetData>
    <row r="1" spans="2:15" x14ac:dyDescent="0.25">
      <c r="J1" s="2" t="s">
        <v>98</v>
      </c>
      <c r="K1" s="2" t="s">
        <v>32</v>
      </c>
      <c r="L1" s="2" t="s">
        <v>31</v>
      </c>
      <c r="M1" s="2" t="s">
        <v>30</v>
      </c>
      <c r="N1" s="2" t="s">
        <v>29</v>
      </c>
    </row>
    <row r="2" spans="2:15" x14ac:dyDescent="0.25">
      <c r="B2" t="s">
        <v>42</v>
      </c>
      <c r="F2" s="66" t="s">
        <v>1</v>
      </c>
      <c r="G2" s="2" t="s">
        <v>65</v>
      </c>
      <c r="H2" s="57" t="s">
        <v>64</v>
      </c>
      <c r="I2" s="2" t="s">
        <v>66</v>
      </c>
      <c r="J2" s="57" t="s">
        <v>35</v>
      </c>
      <c r="K2" s="3" t="s">
        <v>83</v>
      </c>
      <c r="L2" s="3" t="s">
        <v>83</v>
      </c>
      <c r="M2" s="3" t="s">
        <v>83</v>
      </c>
      <c r="N2" s="3" t="s">
        <v>83</v>
      </c>
    </row>
    <row r="3" spans="2:15" x14ac:dyDescent="0.25">
      <c r="F3" s="3" t="s">
        <v>56</v>
      </c>
      <c r="G3" s="56">
        <v>2500</v>
      </c>
      <c r="H3" s="57">
        <f>+G3*1.09</f>
        <v>2725</v>
      </c>
      <c r="I3" s="3"/>
      <c r="J3" s="57"/>
      <c r="K3" s="2"/>
      <c r="L3" s="2"/>
      <c r="M3" s="2"/>
      <c r="N3" s="2"/>
    </row>
    <row r="4" spans="2:15" x14ac:dyDescent="0.25">
      <c r="B4" s="107" t="s">
        <v>57</v>
      </c>
      <c r="C4" s="108">
        <v>1500</v>
      </c>
      <c r="D4" s="108">
        <f>+C4*1.09</f>
        <v>1635.0000000000002</v>
      </c>
      <c r="F4" s="3" t="s">
        <v>67</v>
      </c>
      <c r="G4" s="56">
        <v>200</v>
      </c>
      <c r="H4" s="57">
        <f>+G4*1.09</f>
        <v>218.00000000000003</v>
      </c>
      <c r="I4" s="3">
        <v>12</v>
      </c>
      <c r="J4" s="57">
        <f>+$H4*$I4</f>
        <v>2616.0000000000005</v>
      </c>
      <c r="K4" s="57">
        <f t="shared" ref="K4:N4" si="0">+$H4*$I4</f>
        <v>2616.0000000000005</v>
      </c>
      <c r="L4" s="57">
        <f t="shared" si="0"/>
        <v>2616.0000000000005</v>
      </c>
      <c r="M4" s="57">
        <f t="shared" si="0"/>
        <v>2616.0000000000005</v>
      </c>
      <c r="N4" s="57">
        <f t="shared" si="0"/>
        <v>2616.0000000000005</v>
      </c>
    </row>
    <row r="5" spans="2:15" x14ac:dyDescent="0.25">
      <c r="B5" s="2" t="s">
        <v>58</v>
      </c>
      <c r="C5" s="56">
        <f>+C4/(8*5*4)</f>
        <v>9.375</v>
      </c>
      <c r="D5" s="57">
        <f>+D4/(8*5*4)</f>
        <v>10.218750000000002</v>
      </c>
      <c r="F5" s="3" t="s">
        <v>4</v>
      </c>
      <c r="G5" s="56">
        <v>1000</v>
      </c>
      <c r="H5" s="57">
        <f>+G5*1.09</f>
        <v>1090</v>
      </c>
      <c r="I5" s="3">
        <v>2</v>
      </c>
      <c r="J5" s="57">
        <f>+H5*I5</f>
        <v>2180</v>
      </c>
      <c r="K5" s="57">
        <f t="shared" ref="K5:K10" si="1">+$H5</f>
        <v>1090</v>
      </c>
      <c r="L5" s="57">
        <f t="shared" ref="L5:N10" si="2">+$H5</f>
        <v>1090</v>
      </c>
      <c r="M5" s="57">
        <f t="shared" si="2"/>
        <v>1090</v>
      </c>
      <c r="N5" s="57">
        <f t="shared" si="2"/>
        <v>1090</v>
      </c>
    </row>
    <row r="6" spans="2:15" x14ac:dyDescent="0.25">
      <c r="F6" s="3" t="s">
        <v>5</v>
      </c>
      <c r="G6" s="56">
        <v>2500</v>
      </c>
      <c r="H6" s="57">
        <f>+G6*1.09</f>
        <v>2725</v>
      </c>
      <c r="I6" s="3">
        <v>2</v>
      </c>
      <c r="J6" s="57">
        <f>+H6*I6</f>
        <v>5450</v>
      </c>
      <c r="K6" s="57">
        <f t="shared" si="1"/>
        <v>2725</v>
      </c>
      <c r="L6" s="57">
        <f t="shared" si="2"/>
        <v>2725</v>
      </c>
      <c r="M6" s="57">
        <f t="shared" si="2"/>
        <v>2725</v>
      </c>
      <c r="N6" s="57">
        <f t="shared" si="2"/>
        <v>2725</v>
      </c>
    </row>
    <row r="7" spans="2:15" x14ac:dyDescent="0.25">
      <c r="B7" s="107" t="s">
        <v>58</v>
      </c>
      <c r="C7" s="108" t="s">
        <v>3</v>
      </c>
      <c r="D7" s="108" t="s">
        <v>2</v>
      </c>
      <c r="F7" s="3" t="s">
        <v>6</v>
      </c>
      <c r="G7" s="56">
        <v>500</v>
      </c>
      <c r="H7" s="57">
        <f t="shared" ref="H7:H13" si="3">+G7*1.09</f>
        <v>545</v>
      </c>
      <c r="I7" s="3">
        <v>2</v>
      </c>
      <c r="J7" s="57">
        <f t="shared" ref="J7:J13" si="4">+H7*I7</f>
        <v>1090</v>
      </c>
      <c r="K7" s="57">
        <f t="shared" si="1"/>
        <v>545</v>
      </c>
      <c r="L7" s="57">
        <f t="shared" si="2"/>
        <v>545</v>
      </c>
      <c r="M7" s="57">
        <f t="shared" si="2"/>
        <v>545</v>
      </c>
      <c r="N7" s="57">
        <f t="shared" si="2"/>
        <v>545</v>
      </c>
    </row>
    <row r="8" spans="2:15" x14ac:dyDescent="0.25">
      <c r="B8" s="2" t="s">
        <v>59</v>
      </c>
      <c r="C8" s="60">
        <f>40/60</f>
        <v>0.66666666666666663</v>
      </c>
      <c r="D8" s="60">
        <f>40/60</f>
        <v>0.66666666666666663</v>
      </c>
      <c r="F8" s="3" t="s">
        <v>8</v>
      </c>
      <c r="G8" s="56">
        <v>500</v>
      </c>
      <c r="H8" s="57">
        <f t="shared" si="3"/>
        <v>545</v>
      </c>
      <c r="I8" s="3">
        <v>2</v>
      </c>
      <c r="J8" s="57">
        <f t="shared" si="4"/>
        <v>1090</v>
      </c>
      <c r="K8" s="57">
        <f t="shared" si="1"/>
        <v>545</v>
      </c>
      <c r="L8" s="57">
        <f t="shared" si="2"/>
        <v>545</v>
      </c>
      <c r="M8" s="57">
        <f t="shared" si="2"/>
        <v>545</v>
      </c>
      <c r="N8" s="57">
        <f t="shared" si="2"/>
        <v>545</v>
      </c>
    </row>
    <row r="9" spans="2:15" x14ac:dyDescent="0.25">
      <c r="B9" s="2" t="s">
        <v>60</v>
      </c>
      <c r="C9" s="60">
        <f>20/60</f>
        <v>0.33333333333333331</v>
      </c>
      <c r="D9" s="60">
        <f>40/60</f>
        <v>0.66666666666666663</v>
      </c>
      <c r="F9" s="3" t="s">
        <v>12</v>
      </c>
      <c r="G9" s="56">
        <v>1000</v>
      </c>
      <c r="H9" s="57">
        <f t="shared" si="3"/>
        <v>1090</v>
      </c>
      <c r="I9" s="3">
        <v>3</v>
      </c>
      <c r="J9" s="57">
        <f t="shared" si="4"/>
        <v>3270</v>
      </c>
      <c r="K9" s="57">
        <f t="shared" si="1"/>
        <v>1090</v>
      </c>
      <c r="L9" s="57">
        <f t="shared" si="2"/>
        <v>1090</v>
      </c>
      <c r="M9" s="57">
        <f t="shared" si="2"/>
        <v>1090</v>
      </c>
      <c r="N9" s="57">
        <f t="shared" si="2"/>
        <v>1090</v>
      </c>
    </row>
    <row r="10" spans="2:15" x14ac:dyDescent="0.25">
      <c r="B10" s="2" t="s">
        <v>61</v>
      </c>
      <c r="C10" s="60">
        <f>40/60</f>
        <v>0.66666666666666663</v>
      </c>
      <c r="D10" s="60">
        <f>40/60</f>
        <v>0.66666666666666663</v>
      </c>
      <c r="F10" s="3" t="s">
        <v>13</v>
      </c>
      <c r="G10" s="56">
        <v>500</v>
      </c>
      <c r="H10" s="57">
        <f t="shared" si="3"/>
        <v>545</v>
      </c>
      <c r="I10" s="3">
        <v>2</v>
      </c>
      <c r="J10" s="57">
        <f t="shared" si="4"/>
        <v>1090</v>
      </c>
      <c r="K10" s="57">
        <f t="shared" si="1"/>
        <v>545</v>
      </c>
      <c r="L10" s="57">
        <f t="shared" si="2"/>
        <v>545</v>
      </c>
      <c r="M10" s="57">
        <f t="shared" si="2"/>
        <v>545</v>
      </c>
      <c r="N10" s="57">
        <f t="shared" si="2"/>
        <v>545</v>
      </c>
    </row>
    <row r="11" spans="2:15" x14ac:dyDescent="0.25">
      <c r="B11" s="58" t="s">
        <v>62</v>
      </c>
      <c r="C11" s="61">
        <f>SUM(C8:C10)</f>
        <v>1.6666666666666665</v>
      </c>
      <c r="D11" s="5">
        <f>SUM(D8:D10)</f>
        <v>2</v>
      </c>
      <c r="F11" s="3" t="s">
        <v>11</v>
      </c>
      <c r="G11" s="56">
        <v>200</v>
      </c>
      <c r="H11" s="57">
        <f t="shared" si="3"/>
        <v>218.00000000000003</v>
      </c>
      <c r="I11" s="3">
        <v>4</v>
      </c>
      <c r="J11" s="57">
        <f t="shared" si="4"/>
        <v>872.00000000000011</v>
      </c>
      <c r="K11" s="57">
        <f>+$J11</f>
        <v>872.00000000000011</v>
      </c>
      <c r="L11" s="57">
        <f t="shared" ref="L11:N13" si="5">+$J11</f>
        <v>872.00000000000011</v>
      </c>
      <c r="M11" s="57">
        <f t="shared" si="5"/>
        <v>872.00000000000011</v>
      </c>
      <c r="N11" s="57">
        <f t="shared" si="5"/>
        <v>872.00000000000011</v>
      </c>
      <c r="O11" s="55"/>
    </row>
    <row r="12" spans="2:15" x14ac:dyDescent="0.25">
      <c r="F12" s="3" t="s">
        <v>14</v>
      </c>
      <c r="G12" s="56">
        <v>800</v>
      </c>
      <c r="H12" s="57">
        <f t="shared" si="3"/>
        <v>872.00000000000011</v>
      </c>
      <c r="I12" s="3">
        <v>1</v>
      </c>
      <c r="J12" s="57">
        <f t="shared" si="4"/>
        <v>872.00000000000011</v>
      </c>
      <c r="K12" s="57">
        <f>+$J12</f>
        <v>872.00000000000011</v>
      </c>
      <c r="L12" s="57">
        <f t="shared" si="5"/>
        <v>872.00000000000011</v>
      </c>
      <c r="M12" s="57">
        <f t="shared" si="5"/>
        <v>872.00000000000011</v>
      </c>
      <c r="N12" s="57">
        <f t="shared" si="5"/>
        <v>872.00000000000011</v>
      </c>
    </row>
    <row r="13" spans="2:15" x14ac:dyDescent="0.25">
      <c r="B13" s="107" t="s">
        <v>63</v>
      </c>
      <c r="C13" s="108" t="s">
        <v>3</v>
      </c>
      <c r="D13" s="108" t="s">
        <v>2</v>
      </c>
      <c r="F13" s="3" t="s">
        <v>7</v>
      </c>
      <c r="G13" s="56">
        <v>1000</v>
      </c>
      <c r="H13" s="57">
        <f t="shared" si="3"/>
        <v>1090</v>
      </c>
      <c r="I13" s="3">
        <v>5</v>
      </c>
      <c r="J13" s="57">
        <f t="shared" si="4"/>
        <v>5450</v>
      </c>
      <c r="K13" s="57">
        <f>+$J13</f>
        <v>5450</v>
      </c>
      <c r="L13" s="57">
        <f t="shared" si="5"/>
        <v>5450</v>
      </c>
      <c r="M13" s="57">
        <f t="shared" si="5"/>
        <v>5450</v>
      </c>
      <c r="N13" s="57">
        <f t="shared" si="5"/>
        <v>5450</v>
      </c>
    </row>
    <row r="14" spans="2:15" ht="15.75" thickBot="1" x14ac:dyDescent="0.3">
      <c r="B14" s="2" t="s">
        <v>49</v>
      </c>
      <c r="C14" s="57">
        <f>+C11*D5</f>
        <v>17.03125</v>
      </c>
      <c r="D14" s="57">
        <f>+D11*D5</f>
        <v>20.437500000000004</v>
      </c>
      <c r="F14" s="3" t="s">
        <v>9</v>
      </c>
      <c r="G14" s="56">
        <v>2500</v>
      </c>
      <c r="H14" s="57">
        <f>+G14*1.09</f>
        <v>2725</v>
      </c>
      <c r="I14" s="3">
        <v>4</v>
      </c>
      <c r="J14" s="69">
        <f>+H14*I14</f>
        <v>10900</v>
      </c>
      <c r="K14" s="57">
        <f>+$J14</f>
        <v>10900</v>
      </c>
      <c r="L14" s="57">
        <f t="shared" ref="L14:N14" si="6">+$J14</f>
        <v>10900</v>
      </c>
      <c r="M14" s="57">
        <f t="shared" si="6"/>
        <v>10900</v>
      </c>
      <c r="N14" s="57">
        <f t="shared" si="6"/>
        <v>10900</v>
      </c>
    </row>
    <row r="15" spans="2:15" ht="15.75" thickBot="1" x14ac:dyDescent="0.3">
      <c r="B15" s="3" t="s">
        <v>50</v>
      </c>
      <c r="C15" s="57">
        <v>10</v>
      </c>
      <c r="D15" s="57">
        <v>10</v>
      </c>
      <c r="J15" s="70">
        <f>SUM(J4:J14)</f>
        <v>34880</v>
      </c>
      <c r="K15" s="70">
        <f t="shared" ref="K15:N15" si="7">SUM(K4:K14)</f>
        <v>27250</v>
      </c>
      <c r="L15" s="70">
        <f t="shared" si="7"/>
        <v>27250</v>
      </c>
      <c r="M15" s="70">
        <f t="shared" si="7"/>
        <v>27250</v>
      </c>
      <c r="N15" s="70">
        <f t="shared" si="7"/>
        <v>27250</v>
      </c>
    </row>
    <row r="16" spans="2:15" x14ac:dyDescent="0.25">
      <c r="B16" s="58" t="s">
        <v>48</v>
      </c>
      <c r="C16" s="106">
        <f>SUM(C14:C15)</f>
        <v>27.03125</v>
      </c>
      <c r="D16" s="106">
        <f>SUM(D14:D15)</f>
        <v>30.437500000000004</v>
      </c>
      <c r="F16" s="1"/>
    </row>
    <row r="18" spans="2:14" x14ac:dyDescent="0.25">
      <c r="B18" s="107"/>
      <c r="C18" s="108" t="s">
        <v>3</v>
      </c>
      <c r="D18" s="108" t="s">
        <v>2</v>
      </c>
      <c r="F18" s="66" t="s">
        <v>10</v>
      </c>
      <c r="G18" s="2" t="s">
        <v>84</v>
      </c>
      <c r="H18" s="2" t="s">
        <v>85</v>
      </c>
      <c r="I18" s="2" t="s">
        <v>98</v>
      </c>
      <c r="J18" s="2" t="s">
        <v>32</v>
      </c>
      <c r="K18" s="2" t="s">
        <v>31</v>
      </c>
      <c r="L18" s="2" t="s">
        <v>30</v>
      </c>
      <c r="M18" s="2" t="s">
        <v>29</v>
      </c>
    </row>
    <row r="19" spans="2:14" x14ac:dyDescent="0.25">
      <c r="B19" s="2" t="s">
        <v>0</v>
      </c>
      <c r="C19" s="59">
        <f>100*1.09</f>
        <v>109.00000000000001</v>
      </c>
      <c r="D19" s="59">
        <f>180*1.09</f>
        <v>196.20000000000002</v>
      </c>
      <c r="F19" s="2" t="s">
        <v>86</v>
      </c>
      <c r="G19" s="56">
        <v>1500</v>
      </c>
      <c r="H19" s="57">
        <f>+G19*1.09</f>
        <v>1635.0000000000002</v>
      </c>
      <c r="I19" s="57">
        <f>+$H19*12</f>
        <v>19620.000000000004</v>
      </c>
      <c r="J19" s="57">
        <f t="shared" ref="J19:M19" si="8">+$H19*12</f>
        <v>19620.000000000004</v>
      </c>
      <c r="K19" s="57">
        <f t="shared" si="8"/>
        <v>19620.000000000004</v>
      </c>
      <c r="L19" s="57">
        <f t="shared" si="8"/>
        <v>19620.000000000004</v>
      </c>
      <c r="M19" s="57">
        <f t="shared" si="8"/>
        <v>19620.000000000004</v>
      </c>
    </row>
    <row r="20" spans="2:14" x14ac:dyDescent="0.25">
      <c r="B20" s="2" t="s">
        <v>52</v>
      </c>
      <c r="C20" s="57">
        <f>+C19-C16</f>
        <v>81.968750000000014</v>
      </c>
      <c r="D20" s="2">
        <f>+D19-D16</f>
        <v>165.76250000000002</v>
      </c>
      <c r="F20" s="2" t="s">
        <v>117</v>
      </c>
      <c r="G20" s="56">
        <v>400</v>
      </c>
      <c r="H20" s="57">
        <f t="shared" ref="H20:H22" si="9">+G20*1.09</f>
        <v>436.00000000000006</v>
      </c>
      <c r="I20" s="57">
        <f>+$H20*12</f>
        <v>5232.0000000000009</v>
      </c>
      <c r="J20" s="57">
        <f>($H20*12)*1.1</f>
        <v>5755.2000000000016</v>
      </c>
      <c r="K20" s="57">
        <f>+J20*1.1</f>
        <v>6330.7200000000021</v>
      </c>
      <c r="L20" s="57">
        <f t="shared" ref="L20:M20" si="10">+K20*1.1</f>
        <v>6963.7920000000031</v>
      </c>
      <c r="M20" s="57">
        <f t="shared" si="10"/>
        <v>7660.1712000000043</v>
      </c>
      <c r="N20" t="s">
        <v>118</v>
      </c>
    </row>
    <row r="21" spans="2:14" x14ac:dyDescent="0.25">
      <c r="B21" s="5" t="s">
        <v>51</v>
      </c>
      <c r="C21" s="109">
        <f>+C20/C19</f>
        <v>0.75200688073394495</v>
      </c>
      <c r="D21" s="109">
        <f>+D20/D19</f>
        <v>0.84486493374108051</v>
      </c>
      <c r="F21" s="2" t="s">
        <v>87</v>
      </c>
      <c r="G21" s="56">
        <v>100</v>
      </c>
      <c r="H21" s="57">
        <f t="shared" si="9"/>
        <v>109.00000000000001</v>
      </c>
      <c r="I21" s="57">
        <f>+$H21*12</f>
        <v>1308.0000000000002</v>
      </c>
      <c r="J21" s="57">
        <f>+($H21*12)*1.1</f>
        <v>1438.8000000000004</v>
      </c>
      <c r="K21" s="57">
        <f>J21*1.1</f>
        <v>1582.6800000000005</v>
      </c>
      <c r="L21" s="57">
        <f t="shared" ref="L21:M21" si="11">K21*1.1</f>
        <v>1740.9480000000008</v>
      </c>
      <c r="M21" s="57">
        <f t="shared" si="11"/>
        <v>1915.0428000000011</v>
      </c>
    </row>
    <row r="22" spans="2:14" ht="15.75" thickBot="1" x14ac:dyDescent="0.3">
      <c r="F22" s="3" t="s">
        <v>95</v>
      </c>
      <c r="G22" s="56">
        <v>200</v>
      </c>
      <c r="H22" s="57">
        <f t="shared" si="9"/>
        <v>218.00000000000003</v>
      </c>
      <c r="I22" s="57">
        <f>+$H22*12</f>
        <v>2616.0000000000005</v>
      </c>
      <c r="J22" s="57">
        <f>($H22*12)*1.05</f>
        <v>2746.8000000000006</v>
      </c>
      <c r="K22" s="57">
        <f>J22*1.05</f>
        <v>2884.1400000000008</v>
      </c>
      <c r="L22" s="57">
        <f t="shared" ref="L22:M22" si="12">K22*1.05</f>
        <v>3028.3470000000011</v>
      </c>
      <c r="M22" s="57">
        <f t="shared" si="12"/>
        <v>3179.7643500000013</v>
      </c>
    </row>
    <row r="23" spans="2:14" ht="15.75" thickBot="1" x14ac:dyDescent="0.3">
      <c r="I23" s="70">
        <f>SUM(I19:I22)</f>
        <v>28776.000000000004</v>
      </c>
      <c r="J23" s="70">
        <f t="shared" ref="J23:M23" si="13">SUM(J19:J22)</f>
        <v>29560.800000000003</v>
      </c>
      <c r="K23" s="70">
        <f t="shared" si="13"/>
        <v>30417.540000000005</v>
      </c>
      <c r="L23" s="70">
        <f t="shared" si="13"/>
        <v>31353.08700000001</v>
      </c>
      <c r="M23" s="70">
        <f t="shared" si="13"/>
        <v>32374.978350000009</v>
      </c>
    </row>
    <row r="26" spans="2:14" x14ac:dyDescent="0.25">
      <c r="F26" s="66" t="s">
        <v>40</v>
      </c>
      <c r="G26" s="2" t="s">
        <v>84</v>
      </c>
      <c r="H26" s="2" t="s">
        <v>85</v>
      </c>
      <c r="I26" s="2" t="s">
        <v>98</v>
      </c>
      <c r="J26" s="2" t="s">
        <v>32</v>
      </c>
      <c r="K26" s="2" t="s">
        <v>31</v>
      </c>
      <c r="L26" s="2" t="s">
        <v>30</v>
      </c>
      <c r="M26" s="2" t="s">
        <v>29</v>
      </c>
    </row>
    <row r="27" spans="2:14" x14ac:dyDescent="0.25">
      <c r="F27" s="2" t="s">
        <v>89</v>
      </c>
      <c r="G27" s="56">
        <v>1200</v>
      </c>
      <c r="H27" s="57">
        <f>+G27*1.09</f>
        <v>1308</v>
      </c>
      <c r="I27" s="57">
        <f>+H27*12</f>
        <v>15696</v>
      </c>
      <c r="J27" s="57">
        <f>+I27*1.05</f>
        <v>16480.8</v>
      </c>
      <c r="K27" s="57">
        <f t="shared" ref="K27:M27" si="14">+J27*1.05</f>
        <v>17304.84</v>
      </c>
      <c r="L27" s="57">
        <f t="shared" si="14"/>
        <v>18170.082000000002</v>
      </c>
      <c r="M27" s="57">
        <f t="shared" si="14"/>
        <v>19078.586100000004</v>
      </c>
    </row>
    <row r="28" spans="2:14" x14ac:dyDescent="0.25">
      <c r="F28" s="2" t="s">
        <v>90</v>
      </c>
      <c r="G28" s="56">
        <v>1500</v>
      </c>
      <c r="H28" s="57">
        <f t="shared" ref="H28" si="15">+G28*1.09</f>
        <v>1635.0000000000002</v>
      </c>
      <c r="I28" s="57">
        <f t="shared" ref="I28" si="16">+H28*12</f>
        <v>19620.000000000004</v>
      </c>
      <c r="J28" s="57">
        <f>+I28*1.05</f>
        <v>20601.000000000004</v>
      </c>
      <c r="K28" s="57">
        <f t="shared" ref="K28:M28" si="17">+J28*1.05</f>
        <v>21631.050000000007</v>
      </c>
      <c r="L28" s="57">
        <f t="shared" si="17"/>
        <v>22712.602500000008</v>
      </c>
      <c r="M28" s="57">
        <f t="shared" si="17"/>
        <v>23848.232625000008</v>
      </c>
      <c r="N28" t="s">
        <v>122</v>
      </c>
    </row>
    <row r="29" spans="2:14" x14ac:dyDescent="0.25">
      <c r="F29" s="2" t="s">
        <v>116</v>
      </c>
      <c r="G29" s="56">
        <v>1800</v>
      </c>
      <c r="H29" s="57">
        <f>+G29*1.09</f>
        <v>1962.0000000000002</v>
      </c>
      <c r="I29" s="57">
        <f>+H29*12</f>
        <v>23544.000000000004</v>
      </c>
      <c r="J29" s="57">
        <f>+I29*1.05</f>
        <v>24721.200000000004</v>
      </c>
      <c r="K29" s="57">
        <f t="shared" ref="K29:M29" si="18">+J29*1.05</f>
        <v>25957.260000000006</v>
      </c>
      <c r="L29" s="57">
        <f t="shared" si="18"/>
        <v>27255.123000000007</v>
      </c>
      <c r="M29" s="57">
        <f t="shared" si="18"/>
        <v>28617.879150000008</v>
      </c>
    </row>
    <row r="30" spans="2:14" x14ac:dyDescent="0.25">
      <c r="F30" s="2" t="s">
        <v>92</v>
      </c>
      <c r="G30" s="67">
        <v>8000</v>
      </c>
      <c r="H30" s="57">
        <f>+G30*1.09</f>
        <v>8720</v>
      </c>
      <c r="I30" s="57">
        <f>+H30*12</f>
        <v>104640</v>
      </c>
      <c r="J30" s="57">
        <f>+I30*1.1</f>
        <v>115104.00000000001</v>
      </c>
      <c r="K30" s="57">
        <f t="shared" ref="K30:M30" si="19">+J30*1.15</f>
        <v>132369.60000000001</v>
      </c>
      <c r="L30" s="57">
        <f t="shared" si="19"/>
        <v>152225.04</v>
      </c>
      <c r="M30" s="57">
        <f t="shared" si="19"/>
        <v>175058.796</v>
      </c>
    </row>
    <row r="31" spans="2:14" ht="15.75" thickBot="1" x14ac:dyDescent="0.3">
      <c r="F31" s="2" t="s">
        <v>91</v>
      </c>
      <c r="G31" s="56">
        <v>10000</v>
      </c>
      <c r="H31" s="57">
        <f>+G31*1.09</f>
        <v>10900</v>
      </c>
      <c r="I31" s="57">
        <f>+H31*12</f>
        <v>130800</v>
      </c>
      <c r="J31" s="57">
        <f>+I31*1.1</f>
        <v>143880</v>
      </c>
      <c r="K31" s="57">
        <f t="shared" ref="K31:M31" si="20">+J31*1.1</f>
        <v>158268</v>
      </c>
      <c r="L31" s="57">
        <f t="shared" si="20"/>
        <v>174094.80000000002</v>
      </c>
      <c r="M31" s="57">
        <f t="shared" si="20"/>
        <v>191504.28000000003</v>
      </c>
    </row>
    <row r="32" spans="2:14" ht="15.75" thickBot="1" x14ac:dyDescent="0.3">
      <c r="I32" s="70">
        <f>SUM(I27:I30)</f>
        <v>163500</v>
      </c>
      <c r="J32" s="70">
        <f t="shared" ref="J32:M32" si="21">SUM(J27:J30)</f>
        <v>176907.00000000003</v>
      </c>
      <c r="K32" s="70">
        <f t="shared" si="21"/>
        <v>197262.75</v>
      </c>
      <c r="L32" s="70">
        <f t="shared" si="21"/>
        <v>220362.84750000003</v>
      </c>
      <c r="M32" s="70">
        <f t="shared" si="21"/>
        <v>246603.49387500001</v>
      </c>
    </row>
    <row r="34" spans="6:14" x14ac:dyDescent="0.25">
      <c r="F34" s="2" t="s">
        <v>94</v>
      </c>
      <c r="G34" s="56">
        <v>200</v>
      </c>
      <c r="H34" s="57">
        <f>+G34*1.09</f>
        <v>218.00000000000003</v>
      </c>
      <c r="I34" s="57">
        <f>+H34*12</f>
        <v>2616.0000000000005</v>
      </c>
      <c r="J34" s="57">
        <f>+I34*1.1</f>
        <v>2877.6000000000008</v>
      </c>
      <c r="K34" s="57">
        <f>+J34*1.1</f>
        <v>3165.360000000001</v>
      </c>
      <c r="L34" s="57">
        <f>+K34*1.1</f>
        <v>3481.8960000000015</v>
      </c>
      <c r="M34" s="57">
        <f t="shared" ref="M34" si="22">+L34*1.1</f>
        <v>3830.0856000000022</v>
      </c>
    </row>
    <row r="38" spans="6:14" x14ac:dyDescent="0.25">
      <c r="F38" s="66" t="s">
        <v>99</v>
      </c>
      <c r="G38" s="2" t="s">
        <v>103</v>
      </c>
      <c r="H38" s="57" t="s">
        <v>104</v>
      </c>
      <c r="I38" s="2" t="s">
        <v>109</v>
      </c>
      <c r="J38" s="2" t="s">
        <v>98</v>
      </c>
      <c r="K38" s="2" t="s">
        <v>32</v>
      </c>
      <c r="L38" s="2" t="s">
        <v>31</v>
      </c>
      <c r="M38" s="2" t="s">
        <v>30</v>
      </c>
      <c r="N38" s="2" t="s">
        <v>29</v>
      </c>
    </row>
    <row r="39" spans="6:14" x14ac:dyDescent="0.25">
      <c r="F39" s="2" t="s">
        <v>100</v>
      </c>
      <c r="G39" s="2"/>
      <c r="H39" s="57">
        <v>500</v>
      </c>
      <c r="I39" s="2" t="s">
        <v>108</v>
      </c>
      <c r="J39" s="2"/>
      <c r="K39" s="2"/>
      <c r="L39" s="2"/>
      <c r="M39" s="2"/>
      <c r="N39" s="2"/>
    </row>
    <row r="40" spans="6:14" x14ac:dyDescent="0.25">
      <c r="F40" s="2" t="s">
        <v>101</v>
      </c>
      <c r="G40" s="2"/>
      <c r="H40" s="57">
        <v>1000</v>
      </c>
      <c r="I40" s="2" t="s">
        <v>108</v>
      </c>
      <c r="J40" s="2"/>
      <c r="K40" s="2"/>
      <c r="L40" s="2"/>
      <c r="M40" s="2"/>
      <c r="N40" s="2"/>
    </row>
    <row r="41" spans="6:14" x14ac:dyDescent="0.25">
      <c r="F41" s="2" t="s">
        <v>102</v>
      </c>
      <c r="G41" s="2"/>
      <c r="H41" s="57">
        <v>1000</v>
      </c>
      <c r="I41" s="2" t="s">
        <v>110</v>
      </c>
      <c r="J41" s="2"/>
      <c r="K41" s="2" t="s">
        <v>123</v>
      </c>
      <c r="L41" s="2" t="s">
        <v>123</v>
      </c>
      <c r="M41" s="2" t="s">
        <v>124</v>
      </c>
      <c r="N41" s="2" t="s">
        <v>123</v>
      </c>
    </row>
    <row r="42" spans="6:14" x14ac:dyDescent="0.25">
      <c r="F42" s="2" t="s">
        <v>88</v>
      </c>
      <c r="G42" s="2"/>
      <c r="H42" s="57">
        <v>500</v>
      </c>
      <c r="I42" s="2" t="s">
        <v>108</v>
      </c>
      <c r="J42" s="2"/>
      <c r="K42" s="2"/>
      <c r="L42" s="2"/>
      <c r="M42" s="2"/>
      <c r="N42" s="2"/>
    </row>
    <row r="43" spans="6:14" x14ac:dyDescent="0.25">
      <c r="F43" s="3" t="s">
        <v>105</v>
      </c>
      <c r="G43" s="2"/>
      <c r="H43" s="57">
        <v>1000</v>
      </c>
      <c r="I43" s="2" t="s">
        <v>108</v>
      </c>
      <c r="J43" s="2"/>
      <c r="K43" s="2"/>
      <c r="L43" s="2"/>
      <c r="M43" s="2"/>
      <c r="N43" s="2"/>
    </row>
    <row r="44" spans="6:14" x14ac:dyDescent="0.25">
      <c r="F44" s="3" t="s">
        <v>106</v>
      </c>
      <c r="G44" s="2"/>
      <c r="H44" s="57">
        <v>1000</v>
      </c>
      <c r="I44" s="2" t="s">
        <v>108</v>
      </c>
      <c r="J44" s="2"/>
      <c r="K44" s="2"/>
      <c r="L44" s="2"/>
      <c r="M44" s="2"/>
      <c r="N44" s="2"/>
    </row>
    <row r="45" spans="6:14" ht="15.75" thickBot="1" x14ac:dyDescent="0.3">
      <c r="F45" s="3" t="s">
        <v>107</v>
      </c>
      <c r="G45" s="2"/>
      <c r="H45" s="57">
        <v>1000</v>
      </c>
      <c r="I45" s="2"/>
      <c r="J45" s="2" t="s">
        <v>121</v>
      </c>
      <c r="K45" s="2">
        <v>4</v>
      </c>
      <c r="L45" s="2">
        <v>5</v>
      </c>
      <c r="M45" s="2">
        <v>7</v>
      </c>
      <c r="N45" s="2">
        <v>10</v>
      </c>
    </row>
    <row r="46" spans="6:14" ht="15.75" thickBot="1" x14ac:dyDescent="0.3">
      <c r="H46" s="70">
        <f>SUM(H39:H45)</f>
        <v>6000</v>
      </c>
      <c r="J46" t="s">
        <v>120</v>
      </c>
    </row>
    <row r="51" spans="5:12" x14ac:dyDescent="0.25">
      <c r="E51" s="49"/>
      <c r="F51" s="49"/>
      <c r="G51" s="49"/>
      <c r="H51" s="49"/>
      <c r="I51" s="49"/>
    </row>
    <row r="52" spans="5:12" x14ac:dyDescent="0.25">
      <c r="E52" s="49"/>
      <c r="F52" s="49"/>
      <c r="G52" s="105"/>
      <c r="H52" s="49"/>
      <c r="I52" s="49"/>
    </row>
    <row r="53" spans="5:12" x14ac:dyDescent="0.25">
      <c r="E53" s="49"/>
      <c r="F53" s="49"/>
      <c r="G53" s="105"/>
      <c r="H53" s="49"/>
      <c r="I53" s="49"/>
    </row>
    <row r="54" spans="5:12" x14ac:dyDescent="0.25">
      <c r="E54" s="49"/>
      <c r="F54" s="21"/>
      <c r="G54" s="20"/>
      <c r="H54" s="20" t="s">
        <v>33</v>
      </c>
      <c r="I54" s="20" t="s">
        <v>32</v>
      </c>
      <c r="J54" s="20" t="s">
        <v>31</v>
      </c>
      <c r="K54" s="20" t="s">
        <v>30</v>
      </c>
      <c r="L54" s="20" t="s">
        <v>29</v>
      </c>
    </row>
    <row r="55" spans="5:12" x14ac:dyDescent="0.25">
      <c r="E55" s="49"/>
      <c r="F55" s="28" t="s">
        <v>128</v>
      </c>
      <c r="G55" s="4">
        <v>27600</v>
      </c>
      <c r="H55" s="23"/>
      <c r="I55" s="23"/>
      <c r="J55" s="23"/>
      <c r="K55" s="23"/>
      <c r="L55" s="23"/>
    </row>
    <row r="56" spans="5:12" x14ac:dyDescent="0.25">
      <c r="E56" s="49"/>
      <c r="F56" s="28" t="s">
        <v>46</v>
      </c>
      <c r="G56" s="6"/>
      <c r="H56" s="44">
        <v>2000</v>
      </c>
      <c r="I56" s="44">
        <v>4000</v>
      </c>
      <c r="J56" s="44">
        <v>5000</v>
      </c>
      <c r="K56" s="44">
        <v>6900</v>
      </c>
      <c r="L56" s="44">
        <f>+G55-(H56+I56+J56+K56)</f>
        <v>9700</v>
      </c>
    </row>
    <row r="57" spans="5:12" x14ac:dyDescent="0.25">
      <c r="E57" s="49"/>
      <c r="F57" s="28" t="s">
        <v>68</v>
      </c>
      <c r="G57" s="6"/>
      <c r="H57" s="6"/>
      <c r="I57" s="47">
        <f>+I56/H56-1</f>
        <v>1</v>
      </c>
      <c r="J57" s="47">
        <f>+J56/I56-1</f>
        <v>0.25</v>
      </c>
      <c r="K57" s="47">
        <f>+K56/J56-1</f>
        <v>0.37999999999999989</v>
      </c>
      <c r="L57" s="47">
        <f>+L56/K56-1</f>
        <v>0.40579710144927539</v>
      </c>
    </row>
    <row r="58" spans="5:12" x14ac:dyDescent="0.25">
      <c r="F58" s="28" t="s">
        <v>69</v>
      </c>
      <c r="G58" s="50"/>
      <c r="H58" s="52">
        <f>+H56/(12*4*5)</f>
        <v>8.3333333333333339</v>
      </c>
      <c r="I58" s="52">
        <f>+I56/(12*4*5)</f>
        <v>16.666666666666668</v>
      </c>
      <c r="J58" s="52">
        <f>+J56/(12*4*5)</f>
        <v>20.833333333333332</v>
      </c>
      <c r="K58" s="52">
        <f>+K56/(12*4*5)</f>
        <v>28.75</v>
      </c>
      <c r="L58" s="52">
        <f>+L56/(12*4*5)</f>
        <v>40.416666666666664</v>
      </c>
    </row>
    <row r="61" spans="5:12" x14ac:dyDescent="0.25">
      <c r="F61" s="21"/>
      <c r="G61" s="20"/>
      <c r="H61" s="20" t="s">
        <v>33</v>
      </c>
      <c r="I61" s="20" t="s">
        <v>32</v>
      </c>
      <c r="J61" s="20" t="s">
        <v>31</v>
      </c>
      <c r="K61" s="20" t="s">
        <v>30</v>
      </c>
      <c r="L61" s="20" t="s">
        <v>29</v>
      </c>
    </row>
    <row r="62" spans="5:12" x14ac:dyDescent="0.25">
      <c r="E62" s="111"/>
      <c r="F62" s="28" t="s">
        <v>149</v>
      </c>
      <c r="H62">
        <v>8</v>
      </c>
      <c r="I62">
        <v>17</v>
      </c>
      <c r="J62">
        <v>21</v>
      </c>
      <c r="K62">
        <v>29</v>
      </c>
      <c r="L62">
        <v>40</v>
      </c>
    </row>
    <row r="63" spans="5:12" x14ac:dyDescent="0.25">
      <c r="F63" s="110" t="s">
        <v>150</v>
      </c>
      <c r="H63">
        <f>+H62/2</f>
        <v>4</v>
      </c>
      <c r="I63">
        <f t="shared" ref="I63:L63" si="23">+I62/2</f>
        <v>8.5</v>
      </c>
      <c r="J63">
        <f t="shared" si="23"/>
        <v>10.5</v>
      </c>
      <c r="K63">
        <f t="shared" si="23"/>
        <v>14.5</v>
      </c>
      <c r="L63">
        <f t="shared" si="23"/>
        <v>20</v>
      </c>
    </row>
    <row r="64" spans="5:12" x14ac:dyDescent="0.25">
      <c r="F64" s="110" t="s">
        <v>151</v>
      </c>
      <c r="H64">
        <f>+H62/2</f>
        <v>4</v>
      </c>
      <c r="I64">
        <f t="shared" ref="I64:L64" si="24">+I62/2</f>
        <v>8.5</v>
      </c>
      <c r="J64">
        <f t="shared" si="24"/>
        <v>10.5</v>
      </c>
      <c r="K64">
        <f t="shared" si="24"/>
        <v>14.5</v>
      </c>
      <c r="L64">
        <f t="shared" si="24"/>
        <v>20</v>
      </c>
    </row>
    <row r="66" spans="6:12" x14ac:dyDescent="0.25">
      <c r="F66" s="110" t="s">
        <v>144</v>
      </c>
      <c r="G66">
        <v>5</v>
      </c>
      <c r="H66">
        <f>+H$63/$G$66</f>
        <v>0.8</v>
      </c>
      <c r="I66">
        <f>+I$63/$G$66</f>
        <v>1.7</v>
      </c>
      <c r="J66">
        <f>+J$63/$G$66</f>
        <v>2.1</v>
      </c>
      <c r="K66">
        <f>+K$63/$G$66</f>
        <v>2.9</v>
      </c>
      <c r="L66">
        <f>+L$63/$G$66</f>
        <v>4</v>
      </c>
    </row>
    <row r="67" spans="6:12" x14ac:dyDescent="0.25">
      <c r="F67" s="110" t="s">
        <v>145</v>
      </c>
      <c r="G67">
        <v>4</v>
      </c>
      <c r="H67">
        <f>+H$64/$G$67</f>
        <v>1</v>
      </c>
      <c r="I67">
        <f>+I$64/$G$67</f>
        <v>2.125</v>
      </c>
      <c r="J67">
        <f>+J$64/$G$67</f>
        <v>2.625</v>
      </c>
      <c r="K67">
        <f>+K$64/$G$67</f>
        <v>3.625</v>
      </c>
      <c r="L67">
        <f>+L$64/$G$67</f>
        <v>5</v>
      </c>
    </row>
    <row r="68" spans="6:12" ht="15.75" thickBot="1" x14ac:dyDescent="0.3">
      <c r="F68" s="110" t="s">
        <v>35</v>
      </c>
      <c r="G68" s="118"/>
      <c r="H68" s="118">
        <f>SUM(H66:H67)</f>
        <v>1.8</v>
      </c>
      <c r="I68" s="118">
        <f t="shared" ref="I68:L68" si="25">SUM(I66:I67)</f>
        <v>3.8250000000000002</v>
      </c>
      <c r="J68" s="118">
        <f t="shared" si="25"/>
        <v>4.7249999999999996</v>
      </c>
      <c r="K68" s="118">
        <f t="shared" si="25"/>
        <v>6.5250000000000004</v>
      </c>
      <c r="L68" s="118">
        <f t="shared" si="25"/>
        <v>9</v>
      </c>
    </row>
    <row r="69" spans="6:12" ht="15.75" thickBot="1" x14ac:dyDescent="0.3">
      <c r="F69" s="114" t="s">
        <v>146</v>
      </c>
      <c r="G69" s="115"/>
      <c r="H69" s="115">
        <v>2</v>
      </c>
      <c r="I69" s="115">
        <v>4</v>
      </c>
      <c r="J69" s="115">
        <v>5</v>
      </c>
      <c r="K69" s="115">
        <v>7</v>
      </c>
      <c r="L69" s="116">
        <v>8</v>
      </c>
    </row>
    <row r="72" spans="6:12" ht="15.75" thickBot="1" x14ac:dyDescent="0.3">
      <c r="F72" s="110" t="s">
        <v>148</v>
      </c>
      <c r="H72">
        <v>1</v>
      </c>
      <c r="I72">
        <v>1</v>
      </c>
      <c r="J72">
        <v>1</v>
      </c>
      <c r="K72">
        <v>1</v>
      </c>
      <c r="L72">
        <v>1</v>
      </c>
    </row>
    <row r="73" spans="6:12" ht="15.75" thickBot="1" x14ac:dyDescent="0.3">
      <c r="F73" s="110" t="s">
        <v>147</v>
      </c>
      <c r="H73" s="117">
        <v>1</v>
      </c>
      <c r="I73" s="112">
        <v>3</v>
      </c>
      <c r="J73" s="112">
        <v>4</v>
      </c>
      <c r="K73" s="112">
        <v>6</v>
      </c>
      <c r="L73" s="113">
        <v>7</v>
      </c>
    </row>
  </sheetData>
  <pageMargins left="0.7" right="0.7" top="0.75" bottom="0.75" header="0.3" footer="0.3"/>
  <pageSetup paperSize="9" orientation="portrait" r:id="rId1"/>
  <ignoredErrors>
    <ignoredError sqref="C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555C3-F200-4796-8C5A-201C15E30438}">
  <sheetPr>
    <tabColor theme="9"/>
  </sheetPr>
  <dimension ref="A1:N1054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K124" sqref="K124"/>
    </sheetView>
  </sheetViews>
  <sheetFormatPr baseColWidth="10" defaultColWidth="14.42578125" defaultRowHeight="15" customHeight="1" outlineLevelRow="1" x14ac:dyDescent="0.2"/>
  <cols>
    <col min="1" max="1" width="5" style="6" customWidth="1"/>
    <col min="2" max="2" width="24.28515625" style="6" customWidth="1"/>
    <col min="3" max="3" width="15.28515625" style="6" customWidth="1"/>
    <col min="4" max="7" width="14.28515625" style="6" customWidth="1"/>
    <col min="8" max="8" width="15.28515625" style="6" customWidth="1"/>
    <col min="9" max="9" width="14.42578125" style="6" customWidth="1"/>
    <col min="10" max="10" width="13.42578125" style="97" customWidth="1"/>
    <col min="11" max="11" width="15.42578125" style="6" customWidth="1"/>
    <col min="12" max="16384" width="14.42578125" style="6"/>
  </cols>
  <sheetData>
    <row r="1" spans="1:11" x14ac:dyDescent="0.25">
      <c r="I1" s="65"/>
      <c r="J1" s="95"/>
      <c r="K1" s="46"/>
    </row>
    <row r="2" spans="1:11" x14ac:dyDescent="0.25">
      <c r="I2" s="65"/>
      <c r="J2" s="95"/>
      <c r="K2" s="46"/>
    </row>
    <row r="3" spans="1:11" x14ac:dyDescent="0.25">
      <c r="A3" s="14"/>
      <c r="B3" s="21"/>
      <c r="C3" s="20"/>
      <c r="D3" s="20" t="s">
        <v>33</v>
      </c>
      <c r="E3" s="20" t="s">
        <v>32</v>
      </c>
      <c r="F3" s="20" t="s">
        <v>31</v>
      </c>
      <c r="G3" s="20" t="s">
        <v>30</v>
      </c>
      <c r="H3" s="20" t="s">
        <v>29</v>
      </c>
      <c r="I3" s="20" t="s">
        <v>35</v>
      </c>
      <c r="J3" s="96"/>
      <c r="K3" s="14"/>
    </row>
    <row r="4" spans="1:11" x14ac:dyDescent="0.25">
      <c r="A4" s="14"/>
      <c r="B4" s="28" t="s">
        <v>128</v>
      </c>
      <c r="C4" s="4">
        <v>27600</v>
      </c>
      <c r="D4" s="23"/>
      <c r="E4" s="23"/>
      <c r="F4" s="23"/>
      <c r="G4" s="23"/>
      <c r="H4" s="23"/>
      <c r="I4" s="15"/>
      <c r="J4" s="30"/>
      <c r="K4" s="14"/>
    </row>
    <row r="5" spans="1:11" x14ac:dyDescent="0.25">
      <c r="A5" s="14"/>
      <c r="B5" s="28" t="s">
        <v>46</v>
      </c>
      <c r="D5" s="44">
        <v>2000</v>
      </c>
      <c r="E5" s="44">
        <v>4000</v>
      </c>
      <c r="F5" s="44">
        <v>5000</v>
      </c>
      <c r="G5" s="44">
        <v>6900</v>
      </c>
      <c r="H5" s="44">
        <f>+C4-(D5+E5+F5+G5)</f>
        <v>9700</v>
      </c>
      <c r="I5" s="44">
        <f>SUM(D5:H5)</f>
        <v>27600</v>
      </c>
      <c r="J5" s="30"/>
      <c r="K5" s="14"/>
    </row>
    <row r="6" spans="1:11" x14ac:dyDescent="0.25">
      <c r="A6" s="14"/>
      <c r="B6" s="28" t="s">
        <v>68</v>
      </c>
      <c r="E6" s="47">
        <f>+E5/D5-1</f>
        <v>1</v>
      </c>
      <c r="F6" s="47">
        <f>+F5/E5-1</f>
        <v>0.25</v>
      </c>
      <c r="G6" s="47">
        <f>+G5/F5-1</f>
        <v>0.37999999999999989</v>
      </c>
      <c r="H6" s="47">
        <f>+H5/G5-1</f>
        <v>0.40579710144927539</v>
      </c>
      <c r="I6" s="15"/>
      <c r="J6" s="30"/>
      <c r="K6" s="27"/>
    </row>
    <row r="7" spans="1:11" x14ac:dyDescent="0.25">
      <c r="A7" s="14"/>
      <c r="B7" s="28" t="s">
        <v>69</v>
      </c>
      <c r="C7" s="50"/>
      <c r="D7" s="52">
        <f>+D5/(12*4*5)</f>
        <v>8.3333333333333339</v>
      </c>
      <c r="E7" s="52">
        <f>+E5/(12*4*5)</f>
        <v>16.666666666666668</v>
      </c>
      <c r="F7" s="52">
        <f>+F5/(12*4*5)</f>
        <v>20.833333333333332</v>
      </c>
      <c r="G7" s="52">
        <f>+G5/(12*4*5)</f>
        <v>28.75</v>
      </c>
      <c r="H7" s="52">
        <f>+H5/(12*4*5)</f>
        <v>40.416666666666664</v>
      </c>
      <c r="I7" s="15"/>
      <c r="J7" s="30"/>
      <c r="K7" s="27"/>
    </row>
    <row r="8" spans="1:11" x14ac:dyDescent="0.25">
      <c r="A8" s="14"/>
      <c r="B8" s="28"/>
      <c r="C8" s="15"/>
      <c r="D8" s="44"/>
      <c r="E8" s="44"/>
      <c r="F8" s="44"/>
      <c r="G8" s="44"/>
      <c r="H8" s="44"/>
      <c r="I8" s="15"/>
      <c r="J8" s="30"/>
      <c r="K8" s="27"/>
    </row>
    <row r="9" spans="1:11" x14ac:dyDescent="0.25">
      <c r="A9" s="14"/>
      <c r="B9" s="28" t="s">
        <v>70</v>
      </c>
      <c r="C9" s="15"/>
      <c r="D9" s="44"/>
      <c r="E9" s="44"/>
      <c r="F9" s="44"/>
      <c r="G9" s="44"/>
      <c r="H9" s="44"/>
      <c r="I9" s="28"/>
      <c r="J9" s="30"/>
      <c r="K9" s="27"/>
    </row>
    <row r="10" spans="1:11" x14ac:dyDescent="0.25">
      <c r="A10" s="14"/>
      <c r="B10" s="28" t="s">
        <v>3</v>
      </c>
      <c r="C10" s="57">
        <f>Inputs!C16</f>
        <v>27.03125</v>
      </c>
      <c r="D10" s="57">
        <f>C10</f>
        <v>27.03125</v>
      </c>
      <c r="E10" s="57">
        <f t="shared" ref="E10:H10" si="0">D10</f>
        <v>27.03125</v>
      </c>
      <c r="F10" s="57">
        <f t="shared" si="0"/>
        <v>27.03125</v>
      </c>
      <c r="G10" s="57">
        <f t="shared" si="0"/>
        <v>27.03125</v>
      </c>
      <c r="H10" s="57">
        <f t="shared" si="0"/>
        <v>27.03125</v>
      </c>
      <c r="I10" s="28"/>
      <c r="J10" s="30"/>
      <c r="K10" s="27"/>
    </row>
    <row r="11" spans="1:11" x14ac:dyDescent="0.25">
      <c r="A11" s="14"/>
      <c r="B11" s="28" t="s">
        <v>2</v>
      </c>
      <c r="C11" s="57">
        <f>Inputs!D16</f>
        <v>30.437500000000004</v>
      </c>
      <c r="D11" s="57">
        <f>C11</f>
        <v>30.437500000000004</v>
      </c>
      <c r="E11" s="57">
        <f t="shared" ref="E11:H11" si="1">D11</f>
        <v>30.437500000000004</v>
      </c>
      <c r="F11" s="57">
        <f t="shared" si="1"/>
        <v>30.437500000000004</v>
      </c>
      <c r="G11" s="57">
        <f t="shared" si="1"/>
        <v>30.437500000000004</v>
      </c>
      <c r="H11" s="57">
        <f t="shared" si="1"/>
        <v>30.437500000000004</v>
      </c>
      <c r="I11" s="28"/>
      <c r="J11" s="30"/>
      <c r="K11" s="27"/>
    </row>
    <row r="12" spans="1:11" x14ac:dyDescent="0.25">
      <c r="A12" s="14"/>
      <c r="B12" s="28"/>
      <c r="C12" s="15"/>
      <c r="D12" s="44"/>
      <c r="E12" s="44"/>
      <c r="F12" s="44"/>
      <c r="G12" s="44"/>
      <c r="H12" s="44"/>
      <c r="I12" s="28"/>
      <c r="J12" s="30"/>
      <c r="K12" s="27"/>
    </row>
    <row r="13" spans="1:11" x14ac:dyDescent="0.25">
      <c r="A13" s="14"/>
      <c r="B13" s="28" t="s">
        <v>47</v>
      </c>
      <c r="C13" s="15"/>
      <c r="D13" s="44"/>
      <c r="E13" s="44"/>
      <c r="F13" s="44"/>
      <c r="G13" s="44"/>
      <c r="H13" s="44"/>
      <c r="I13" s="28"/>
      <c r="J13" s="30"/>
      <c r="K13" s="27"/>
    </row>
    <row r="14" spans="1:11" x14ac:dyDescent="0.25">
      <c r="A14" s="14"/>
      <c r="B14" s="28" t="s">
        <v>3</v>
      </c>
      <c r="C14" s="50">
        <f>Inputs!C19</f>
        <v>109.00000000000001</v>
      </c>
      <c r="D14" s="52">
        <f>C14</f>
        <v>109.00000000000001</v>
      </c>
      <c r="E14" s="52">
        <f t="shared" ref="E14:H15" si="2">D14</f>
        <v>109.00000000000001</v>
      </c>
      <c r="F14" s="52">
        <f t="shared" si="2"/>
        <v>109.00000000000001</v>
      </c>
      <c r="G14" s="52">
        <f t="shared" si="2"/>
        <v>109.00000000000001</v>
      </c>
      <c r="H14" s="52">
        <f t="shared" si="2"/>
        <v>109.00000000000001</v>
      </c>
      <c r="I14" s="28"/>
      <c r="K14" s="27"/>
    </row>
    <row r="15" spans="1:11" x14ac:dyDescent="0.25">
      <c r="A15" s="14"/>
      <c r="B15" s="28" t="s">
        <v>2</v>
      </c>
      <c r="C15" s="50">
        <f>180*1.09</f>
        <v>196.20000000000002</v>
      </c>
      <c r="D15" s="52">
        <f>C15</f>
        <v>196.20000000000002</v>
      </c>
      <c r="E15" s="52">
        <f t="shared" si="2"/>
        <v>196.20000000000002</v>
      </c>
      <c r="F15" s="52">
        <f t="shared" si="2"/>
        <v>196.20000000000002</v>
      </c>
      <c r="G15" s="52">
        <f t="shared" si="2"/>
        <v>196.20000000000002</v>
      </c>
      <c r="H15" s="52">
        <f t="shared" si="2"/>
        <v>196.20000000000002</v>
      </c>
      <c r="I15" s="28"/>
      <c r="J15" s="30"/>
      <c r="K15" s="27"/>
    </row>
    <row r="16" spans="1:11" x14ac:dyDescent="0.25">
      <c r="A16" s="14"/>
      <c r="B16" s="28"/>
      <c r="C16" s="15"/>
      <c r="D16" s="44"/>
      <c r="E16" s="44"/>
      <c r="F16" s="44"/>
      <c r="G16" s="44"/>
      <c r="H16" s="44"/>
      <c r="I16" s="28"/>
      <c r="J16" s="30"/>
      <c r="K16" s="27"/>
    </row>
    <row r="17" spans="1:11" x14ac:dyDescent="0.25">
      <c r="A17" s="14"/>
      <c r="B17" s="45" t="s">
        <v>45</v>
      </c>
      <c r="C17" s="15"/>
      <c r="D17" s="44"/>
      <c r="E17" s="44"/>
      <c r="F17" s="44"/>
      <c r="G17" s="44"/>
      <c r="H17" s="44"/>
      <c r="I17" s="28"/>
      <c r="J17" s="30"/>
      <c r="K17" s="27"/>
    </row>
    <row r="18" spans="1:11" x14ac:dyDescent="0.25">
      <c r="A18" s="14"/>
      <c r="B18" s="28" t="s">
        <v>3</v>
      </c>
      <c r="C18" s="51">
        <f>Inputs!C21</f>
        <v>0.75200688073394495</v>
      </c>
      <c r="D18" s="53">
        <f>C18</f>
        <v>0.75200688073394495</v>
      </c>
      <c r="E18" s="53">
        <f t="shared" ref="E18:H19" si="3">D18</f>
        <v>0.75200688073394495</v>
      </c>
      <c r="F18" s="53">
        <f t="shared" si="3"/>
        <v>0.75200688073394495</v>
      </c>
      <c r="G18" s="53">
        <f t="shared" si="3"/>
        <v>0.75200688073394495</v>
      </c>
      <c r="H18" s="53">
        <f t="shared" si="3"/>
        <v>0.75200688073394495</v>
      </c>
      <c r="I18" s="28"/>
      <c r="J18" s="30"/>
      <c r="K18" s="27"/>
    </row>
    <row r="19" spans="1:11" x14ac:dyDescent="0.25">
      <c r="A19" s="14"/>
      <c r="B19" s="28" t="s">
        <v>2</v>
      </c>
      <c r="C19" s="51">
        <f>Inputs!D21</f>
        <v>0.84486493374108051</v>
      </c>
      <c r="D19" s="53">
        <f>C19</f>
        <v>0.84486493374108051</v>
      </c>
      <c r="E19" s="53">
        <f t="shared" si="3"/>
        <v>0.84486493374108051</v>
      </c>
      <c r="F19" s="53">
        <f t="shared" si="3"/>
        <v>0.84486493374108051</v>
      </c>
      <c r="G19" s="53">
        <f t="shared" si="3"/>
        <v>0.84486493374108051</v>
      </c>
      <c r="H19" s="53">
        <f t="shared" si="3"/>
        <v>0.84486493374108051</v>
      </c>
      <c r="I19" s="28"/>
      <c r="J19" s="30"/>
      <c r="K19" s="27"/>
    </row>
    <row r="20" spans="1:11" x14ac:dyDescent="0.25">
      <c r="A20" s="14"/>
      <c r="B20" s="28"/>
      <c r="C20" s="15"/>
      <c r="D20" s="44"/>
      <c r="E20" s="44"/>
      <c r="F20" s="44"/>
      <c r="G20" s="44"/>
      <c r="H20" s="44"/>
      <c r="I20" s="28"/>
      <c r="J20" s="30" t="s">
        <v>72</v>
      </c>
      <c r="K20" s="27"/>
    </row>
    <row r="21" spans="1:11" x14ac:dyDescent="0.25">
      <c r="A21" s="14"/>
      <c r="B21" s="28" t="s">
        <v>73</v>
      </c>
      <c r="C21" s="62"/>
      <c r="D21" s="62">
        <v>0.3</v>
      </c>
      <c r="E21" s="62">
        <v>0.4</v>
      </c>
      <c r="F21" s="62">
        <v>0.5</v>
      </c>
      <c r="G21" s="62">
        <v>0.55000000000000004</v>
      </c>
      <c r="H21" s="62">
        <v>0.6</v>
      </c>
      <c r="I21" s="28"/>
      <c r="J21" s="30" t="s">
        <v>71</v>
      </c>
      <c r="K21" s="27"/>
    </row>
    <row r="22" spans="1:11" x14ac:dyDescent="0.25">
      <c r="A22" s="14"/>
      <c r="B22" s="28" t="s">
        <v>130</v>
      </c>
      <c r="C22" s="63"/>
      <c r="D22" s="64">
        <v>0.15</v>
      </c>
      <c r="E22" s="64">
        <f t="shared" ref="E22:H22" si="4">D22</f>
        <v>0.15</v>
      </c>
      <c r="F22" s="64">
        <f t="shared" si="4"/>
        <v>0.15</v>
      </c>
      <c r="G22" s="64">
        <f t="shared" si="4"/>
        <v>0.15</v>
      </c>
      <c r="H22" s="64">
        <f t="shared" si="4"/>
        <v>0.15</v>
      </c>
      <c r="I22" s="28"/>
      <c r="J22" s="30"/>
      <c r="K22" s="27"/>
    </row>
    <row r="23" spans="1:11" x14ac:dyDescent="0.25">
      <c r="A23" s="14"/>
      <c r="B23" s="28" t="s">
        <v>74</v>
      </c>
      <c r="C23" s="63"/>
      <c r="D23" s="64">
        <v>0.15</v>
      </c>
      <c r="E23" s="64">
        <f t="shared" ref="E23:H23" si="5">D23</f>
        <v>0.15</v>
      </c>
      <c r="F23" s="64">
        <f t="shared" si="5"/>
        <v>0.15</v>
      </c>
      <c r="G23" s="64">
        <f t="shared" si="5"/>
        <v>0.15</v>
      </c>
      <c r="H23" s="64">
        <f t="shared" si="5"/>
        <v>0.15</v>
      </c>
      <c r="I23" s="28"/>
      <c r="J23" s="30"/>
      <c r="K23" s="27"/>
    </row>
    <row r="24" spans="1:1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30"/>
      <c r="K24" s="14"/>
    </row>
    <row r="25" spans="1:11" x14ac:dyDescent="0.25">
      <c r="A25" s="14"/>
      <c r="B25" s="21"/>
      <c r="C25" s="20" t="s">
        <v>44</v>
      </c>
      <c r="D25" s="20" t="s">
        <v>33</v>
      </c>
      <c r="E25" s="20" t="s">
        <v>32</v>
      </c>
      <c r="F25" s="20" t="s">
        <v>31</v>
      </c>
      <c r="G25" s="20" t="s">
        <v>30</v>
      </c>
      <c r="H25" s="20" t="s">
        <v>29</v>
      </c>
      <c r="I25" s="20" t="s">
        <v>138</v>
      </c>
      <c r="J25" s="30"/>
      <c r="K25" s="14"/>
    </row>
    <row r="26" spans="1:11" x14ac:dyDescent="0.25">
      <c r="A26" s="14"/>
      <c r="B26" s="15"/>
      <c r="C26" s="23"/>
      <c r="D26" s="34"/>
      <c r="E26" s="34"/>
      <c r="F26" s="34"/>
      <c r="G26" s="34"/>
      <c r="H26" s="34"/>
      <c r="I26" s="34"/>
      <c r="J26" s="30"/>
      <c r="K26" s="14"/>
    </row>
    <row r="27" spans="1:11" x14ac:dyDescent="0.25">
      <c r="A27" s="15"/>
      <c r="B27" s="21" t="s">
        <v>43</v>
      </c>
      <c r="C27" s="20"/>
      <c r="D27" s="39">
        <f>+D28+D31</f>
        <v>313702</v>
      </c>
      <c r="E27" s="39">
        <f t="shared" ref="E27:H27" si="6">+E28+E31</f>
        <v>633072</v>
      </c>
      <c r="F27" s="39">
        <f t="shared" si="6"/>
        <v>798425</v>
      </c>
      <c r="G27" s="39">
        <f t="shared" si="6"/>
        <v>1106715.1500000001</v>
      </c>
      <c r="H27" s="39">
        <f t="shared" si="6"/>
        <v>1562689.4000000001</v>
      </c>
      <c r="I27" s="39">
        <f>SUM(D27:H27)</f>
        <v>4414603.5500000007</v>
      </c>
      <c r="J27" s="28"/>
      <c r="K27" s="15"/>
    </row>
    <row r="28" spans="1:11" x14ac:dyDescent="0.25">
      <c r="A28" s="14"/>
      <c r="B28" s="26" t="s">
        <v>53</v>
      </c>
      <c r="C28" s="42"/>
      <c r="D28" s="25">
        <f>SUM(D29:D30)</f>
        <v>126331.00000000001</v>
      </c>
      <c r="E28" s="25">
        <f>SUM(E29:E30)</f>
        <v>264216</v>
      </c>
      <c r="F28" s="25">
        <f t="shared" ref="F28:H28" si="7">SUM(F29:F30)</f>
        <v>344712.5</v>
      </c>
      <c r="G28" s="25">
        <f t="shared" si="7"/>
        <v>485668.57500000007</v>
      </c>
      <c r="H28" s="25">
        <f t="shared" si="7"/>
        <v>696760.70000000007</v>
      </c>
      <c r="I28" s="25">
        <f t="shared" ref="I28:I33" si="8">SUM(D28:H28)</f>
        <v>1917688.7750000004</v>
      </c>
      <c r="J28" s="30"/>
      <c r="K28" s="14"/>
    </row>
    <row r="29" spans="1:11" x14ac:dyDescent="0.25">
      <c r="A29" s="14"/>
      <c r="B29" s="54" t="s">
        <v>55</v>
      </c>
      <c r="C29" s="42"/>
      <c r="D29" s="81">
        <f>D5*0.5*(1-D21)*D14</f>
        <v>76300.000000000015</v>
      </c>
      <c r="E29" s="81">
        <f>E5*0.5*(1-E21)*E14</f>
        <v>130800.00000000001</v>
      </c>
      <c r="F29" s="81">
        <f>F5*0.5*(1-F21)*F14</f>
        <v>136250.00000000003</v>
      </c>
      <c r="G29" s="81">
        <f t="shared" ref="G29:H29" si="9">G5*0.5*(1-G21)*G14</f>
        <v>169222.5</v>
      </c>
      <c r="H29" s="81">
        <f t="shared" si="9"/>
        <v>211460.00000000003</v>
      </c>
      <c r="I29" s="25">
        <f t="shared" si="8"/>
        <v>724032.50000000012</v>
      </c>
      <c r="J29" s="30"/>
      <c r="K29" s="14"/>
    </row>
    <row r="30" spans="1:11" x14ac:dyDescent="0.25">
      <c r="A30" s="14"/>
      <c r="B30" s="54" t="s">
        <v>54</v>
      </c>
      <c r="C30" s="42"/>
      <c r="D30" s="81">
        <f>D5*0.5*D21*(0.85*D15)</f>
        <v>50031</v>
      </c>
      <c r="E30" s="81">
        <f>E5*0.5*E21*(0.85*E15)</f>
        <v>133416</v>
      </c>
      <c r="F30" s="81">
        <f t="shared" ref="F30:H30" si="10">F5*0.5*F21*(0.85*F15)</f>
        <v>208462.5</v>
      </c>
      <c r="G30" s="81">
        <f t="shared" si="10"/>
        <v>316446.07500000007</v>
      </c>
      <c r="H30" s="81">
        <f t="shared" si="10"/>
        <v>485300.7</v>
      </c>
      <c r="I30" s="25">
        <f t="shared" si="8"/>
        <v>1193656.2750000001</v>
      </c>
      <c r="J30" s="30"/>
      <c r="K30" s="14"/>
    </row>
    <row r="31" spans="1:11" x14ac:dyDescent="0.25">
      <c r="A31" s="14"/>
      <c r="B31" s="26" t="s">
        <v>2</v>
      </c>
      <c r="C31" s="42"/>
      <c r="D31" s="25">
        <f>SUM(D32:D33)</f>
        <v>187371</v>
      </c>
      <c r="E31" s="25">
        <f t="shared" ref="E31:H31" si="11">SUM(E32:E33)</f>
        <v>368856</v>
      </c>
      <c r="F31" s="25">
        <f t="shared" si="11"/>
        <v>453712.5</v>
      </c>
      <c r="G31" s="25">
        <f t="shared" si="11"/>
        <v>621046.57500000007</v>
      </c>
      <c r="H31" s="25">
        <f t="shared" si="11"/>
        <v>865928.70000000007</v>
      </c>
      <c r="I31" s="25">
        <f t="shared" si="8"/>
        <v>2496914.7750000004</v>
      </c>
      <c r="J31" s="30"/>
      <c r="K31" s="14"/>
    </row>
    <row r="32" spans="1:11" x14ac:dyDescent="0.25">
      <c r="A32" s="14"/>
      <c r="B32" s="54" t="s">
        <v>55</v>
      </c>
      <c r="C32" s="42"/>
      <c r="D32" s="81">
        <f>D5*0.5*(1-D21)*D15</f>
        <v>137340</v>
      </c>
      <c r="E32" s="81">
        <f t="shared" ref="E32:H32" si="12">E5*0.5*(1-E21)*E15</f>
        <v>235440.00000000003</v>
      </c>
      <c r="F32" s="81">
        <f t="shared" si="12"/>
        <v>245250.00000000003</v>
      </c>
      <c r="G32" s="81">
        <f t="shared" si="12"/>
        <v>304600.5</v>
      </c>
      <c r="H32" s="81">
        <f t="shared" si="12"/>
        <v>380628.00000000006</v>
      </c>
      <c r="I32" s="25">
        <f t="shared" si="8"/>
        <v>1303258.5</v>
      </c>
      <c r="J32" s="30"/>
      <c r="K32" s="14"/>
    </row>
    <row r="33" spans="1:14" x14ac:dyDescent="0.25">
      <c r="A33" s="14"/>
      <c r="B33" s="54" t="s">
        <v>54</v>
      </c>
      <c r="C33" s="42"/>
      <c r="D33" s="81">
        <f>D5*0.5*D21*(D15*0.85)</f>
        <v>50031</v>
      </c>
      <c r="E33" s="81">
        <f t="shared" ref="E33:H33" si="13">E5*0.5*E21*(E15*0.85)</f>
        <v>133416</v>
      </c>
      <c r="F33" s="81">
        <f t="shared" si="13"/>
        <v>208462.5</v>
      </c>
      <c r="G33" s="81">
        <f t="shared" si="13"/>
        <v>316446.07500000007</v>
      </c>
      <c r="H33" s="81">
        <f t="shared" si="13"/>
        <v>485300.7</v>
      </c>
      <c r="I33" s="25">
        <f t="shared" si="8"/>
        <v>1193656.2750000001</v>
      </c>
      <c r="J33" s="30"/>
      <c r="K33" s="14"/>
    </row>
    <row r="34" spans="1:14" x14ac:dyDescent="0.25">
      <c r="A34" s="14"/>
      <c r="B34" s="30"/>
      <c r="C34" s="15"/>
      <c r="D34" s="43"/>
      <c r="E34" s="43"/>
      <c r="F34" s="43"/>
      <c r="G34" s="43"/>
      <c r="H34" s="43"/>
      <c r="I34" s="43"/>
      <c r="J34" s="30"/>
      <c r="K34" s="14"/>
    </row>
    <row r="35" spans="1:14" x14ac:dyDescent="0.25">
      <c r="A35" s="15"/>
      <c r="B35" s="21" t="s">
        <v>42</v>
      </c>
      <c r="C35" s="39"/>
      <c r="D35" s="39">
        <f>SUM(D36:D37)</f>
        <v>57468.75</v>
      </c>
      <c r="E35" s="39">
        <f>SUM(E36:E37)</f>
        <v>114937.5</v>
      </c>
      <c r="F35" s="39">
        <f>SUM(F36:F37)</f>
        <v>143671.875</v>
      </c>
      <c r="G35" s="39">
        <f>SUM(G36:G37)</f>
        <v>198267.1875</v>
      </c>
      <c r="H35" s="39">
        <f>SUM(H36:H37)</f>
        <v>278723.4375</v>
      </c>
      <c r="I35" s="39">
        <f>SUM(D35:H35)</f>
        <v>793068.75</v>
      </c>
      <c r="J35" s="28"/>
      <c r="K35" s="15"/>
    </row>
    <row r="36" spans="1:14" x14ac:dyDescent="0.25">
      <c r="A36" s="14"/>
      <c r="B36" s="26" t="s">
        <v>3</v>
      </c>
      <c r="C36" s="24"/>
      <c r="D36" s="81">
        <f>+D$5*0.5*D$10</f>
        <v>27031.25</v>
      </c>
      <c r="E36" s="81">
        <f t="shared" ref="E36:H36" si="14">+E$5*0.5*E$10</f>
        <v>54062.5</v>
      </c>
      <c r="F36" s="81">
        <f t="shared" si="14"/>
        <v>67578.125</v>
      </c>
      <c r="G36" s="81">
        <f t="shared" si="14"/>
        <v>93257.8125</v>
      </c>
      <c r="H36" s="81">
        <f t="shared" si="14"/>
        <v>131101.5625</v>
      </c>
      <c r="I36" s="81">
        <f>SUM(D36:H36)</f>
        <v>373031.25</v>
      </c>
      <c r="J36" s="30"/>
      <c r="K36" s="14"/>
    </row>
    <row r="37" spans="1:14" x14ac:dyDescent="0.25">
      <c r="A37" s="14"/>
      <c r="B37" s="26" t="s">
        <v>2</v>
      </c>
      <c r="C37" s="42"/>
      <c r="D37" s="81">
        <f>+D$5*0.5*D$11</f>
        <v>30437.500000000004</v>
      </c>
      <c r="E37" s="81">
        <f t="shared" ref="E37:H37" si="15">+E$5*0.5*E$11</f>
        <v>60875.000000000007</v>
      </c>
      <c r="F37" s="81">
        <f t="shared" si="15"/>
        <v>76093.750000000015</v>
      </c>
      <c r="G37" s="81">
        <f t="shared" si="15"/>
        <v>105009.37500000001</v>
      </c>
      <c r="H37" s="81">
        <f t="shared" si="15"/>
        <v>147621.87500000003</v>
      </c>
      <c r="I37" s="81">
        <f>SUM(D37:H37)</f>
        <v>420037.50000000012</v>
      </c>
      <c r="J37" s="30"/>
      <c r="K37" s="14"/>
    </row>
    <row r="38" spans="1:14" ht="15.75" customHeight="1" x14ac:dyDescent="0.25">
      <c r="A38" s="14"/>
      <c r="B38" s="30"/>
      <c r="C38" s="15"/>
      <c r="D38" s="41"/>
      <c r="E38" s="41"/>
      <c r="F38" s="41"/>
      <c r="G38" s="41"/>
      <c r="H38" s="41"/>
      <c r="I38" s="29"/>
      <c r="J38" s="30"/>
      <c r="K38" s="14"/>
    </row>
    <row r="39" spans="1:14" ht="15.75" customHeight="1" x14ac:dyDescent="0.25">
      <c r="A39" s="15"/>
      <c r="B39" s="21" t="s">
        <v>41</v>
      </c>
      <c r="C39" s="39"/>
      <c r="D39" s="39">
        <f>D27-D35</f>
        <v>256233.25</v>
      </c>
      <c r="E39" s="39">
        <f>E27-E35</f>
        <v>518134.5</v>
      </c>
      <c r="F39" s="39">
        <f>F27-F35</f>
        <v>654753.125</v>
      </c>
      <c r="G39" s="39">
        <f>G27-G35</f>
        <v>908447.96250000014</v>
      </c>
      <c r="H39" s="39">
        <f>H27-H35</f>
        <v>1283965.9625000001</v>
      </c>
      <c r="I39" s="39">
        <f>SUM(D39:H39)</f>
        <v>3621534.8000000007</v>
      </c>
      <c r="J39" s="28"/>
      <c r="K39" s="15"/>
    </row>
    <row r="40" spans="1:14" s="94" customFormat="1" ht="15.75" customHeight="1" x14ac:dyDescent="0.25">
      <c r="A40" s="77"/>
      <c r="B40" s="92" t="s">
        <v>140</v>
      </c>
      <c r="C40" s="79"/>
      <c r="D40" s="93">
        <f>+(D28-D36)/D28</f>
        <v>0.78602836991712255</v>
      </c>
      <c r="E40" s="93">
        <f>+(E28-E36)/E28</f>
        <v>0.79538521512701732</v>
      </c>
      <c r="F40" s="93">
        <f>+(F28-F36)/F28</f>
        <v>0.80395800848533194</v>
      </c>
      <c r="G40" s="93">
        <f>+(G28-G36)/G28</f>
        <v>0.8079805503166434</v>
      </c>
      <c r="H40" s="93">
        <f>+(H28-H36)/H28</f>
        <v>0.81184133591346352</v>
      </c>
      <c r="I40" s="124"/>
      <c r="J40" s="126"/>
      <c r="K40" s="77"/>
    </row>
    <row r="41" spans="1:14" s="94" customFormat="1" ht="15.75" customHeight="1" x14ac:dyDescent="0.25">
      <c r="A41" s="77"/>
      <c r="B41" s="92" t="s">
        <v>141</v>
      </c>
      <c r="C41" s="79"/>
      <c r="D41" s="93">
        <f>+(D31-D37)/D31</f>
        <v>0.83755490444092207</v>
      </c>
      <c r="E41" s="93">
        <f>+(E31-E37)/E31</f>
        <v>0.83496269546923463</v>
      </c>
      <c r="F41" s="93">
        <f>+(F31-F37)/F31</f>
        <v>0.83228641485522215</v>
      </c>
      <c r="G41" s="93">
        <f>+(G31-G37)/G31</f>
        <v>0.83091545911834397</v>
      </c>
      <c r="H41" s="93">
        <f>+(H31-H37)/H31</f>
        <v>0.82952190520997859</v>
      </c>
      <c r="I41" s="124"/>
      <c r="J41" s="126"/>
      <c r="K41" s="77"/>
    </row>
    <row r="42" spans="1:14" s="65" customFormat="1" ht="15.75" customHeight="1" x14ac:dyDescent="0.25">
      <c r="A42" s="77"/>
      <c r="B42" s="78"/>
      <c r="C42" s="79"/>
      <c r="D42" s="80"/>
      <c r="E42" s="80"/>
      <c r="F42" s="80"/>
      <c r="G42" s="80"/>
      <c r="H42" s="80"/>
      <c r="I42" s="125"/>
      <c r="J42" s="126"/>
      <c r="K42" s="77"/>
    </row>
    <row r="43" spans="1:14" s="65" customFormat="1" ht="15.75" customHeight="1" x14ac:dyDescent="0.25">
      <c r="A43" s="77"/>
      <c r="B43" s="21"/>
      <c r="C43" s="20" t="s">
        <v>44</v>
      </c>
      <c r="D43" s="20" t="s">
        <v>33</v>
      </c>
      <c r="E43" s="20" t="s">
        <v>32</v>
      </c>
      <c r="F43" s="20" t="s">
        <v>31</v>
      </c>
      <c r="G43" s="20" t="s">
        <v>30</v>
      </c>
      <c r="H43" s="20" t="s">
        <v>29</v>
      </c>
      <c r="I43" s="20" t="s">
        <v>138</v>
      </c>
      <c r="J43" s="98"/>
      <c r="K43" s="15" t="s">
        <v>133</v>
      </c>
      <c r="L43" s="83" t="s">
        <v>134</v>
      </c>
      <c r="M43" s="83" t="s">
        <v>135</v>
      </c>
      <c r="N43" s="83" t="s">
        <v>136</v>
      </c>
    </row>
    <row r="44" spans="1:14" ht="15.75" customHeight="1" x14ac:dyDescent="0.25">
      <c r="A44" s="15"/>
      <c r="B44" s="15"/>
      <c r="C44" s="15"/>
      <c r="D44" s="101">
        <f>D57+D69+D72+D78+D100</f>
        <v>1</v>
      </c>
      <c r="E44" s="101">
        <f t="shared" ref="E44:I44" si="16">E57+E69+E72+E78+E100</f>
        <v>1</v>
      </c>
      <c r="F44" s="101">
        <f t="shared" si="16"/>
        <v>1.0000000000000002</v>
      </c>
      <c r="G44" s="101">
        <f t="shared" si="16"/>
        <v>1</v>
      </c>
      <c r="H44" s="101">
        <f t="shared" si="16"/>
        <v>1</v>
      </c>
      <c r="I44" s="119">
        <f t="shared" si="16"/>
        <v>1</v>
      </c>
      <c r="J44" s="28"/>
      <c r="K44" s="15"/>
    </row>
    <row r="45" spans="1:14" ht="15.75" customHeight="1" x14ac:dyDescent="0.25">
      <c r="A45" s="15"/>
      <c r="B45" s="21" t="s">
        <v>137</v>
      </c>
      <c r="C45" s="20"/>
      <c r="D45" s="39">
        <f>SUM(D46:D56)</f>
        <v>34880</v>
      </c>
      <c r="E45" s="39">
        <f t="shared" ref="E45:H45" si="17">SUM(E46:E56)</f>
        <v>27250</v>
      </c>
      <c r="F45" s="39">
        <f t="shared" si="17"/>
        <v>27250</v>
      </c>
      <c r="G45" s="39">
        <f t="shared" si="17"/>
        <v>27250</v>
      </c>
      <c r="H45" s="39">
        <f t="shared" si="17"/>
        <v>27250</v>
      </c>
      <c r="I45" s="39">
        <f>SUM(D45:H45)</f>
        <v>143880</v>
      </c>
      <c r="J45" s="28"/>
      <c r="K45" s="82">
        <f t="shared" ref="K45:N45" si="18">IFERROR(E45/D45-1,)</f>
        <v>-0.21875</v>
      </c>
      <c r="L45" s="82">
        <f t="shared" si="18"/>
        <v>0</v>
      </c>
      <c r="M45" s="82">
        <f t="shared" si="18"/>
        <v>0</v>
      </c>
      <c r="N45" s="82">
        <f t="shared" si="18"/>
        <v>0</v>
      </c>
    </row>
    <row r="46" spans="1:14" ht="15.75" customHeight="1" outlineLevel="1" x14ac:dyDescent="0.25">
      <c r="A46" s="14"/>
      <c r="B46" t="s">
        <v>56</v>
      </c>
      <c r="C46" s="29">
        <f>Inputs!H3</f>
        <v>2725</v>
      </c>
      <c r="D46" s="29">
        <f>Inputs!$J$4</f>
        <v>2616.0000000000005</v>
      </c>
      <c r="E46" s="29">
        <f>Inputs!$J$4</f>
        <v>2616.0000000000005</v>
      </c>
      <c r="F46" s="29">
        <f>Inputs!$J$4</f>
        <v>2616.0000000000005</v>
      </c>
      <c r="G46" s="29">
        <f>Inputs!$J$4</f>
        <v>2616.0000000000005</v>
      </c>
      <c r="H46" s="29">
        <f>Inputs!$J$4</f>
        <v>2616.0000000000005</v>
      </c>
      <c r="I46" s="121">
        <f>SUM(D46:H46)</f>
        <v>13080.000000000002</v>
      </c>
      <c r="J46" s="30"/>
      <c r="K46" s="82">
        <f>IFERROR(E46/D46-1,)</f>
        <v>0</v>
      </c>
      <c r="L46" s="82">
        <f t="shared" ref="L46:L68" si="19">IFERROR(F46/E46-1,)</f>
        <v>0</v>
      </c>
      <c r="M46" s="82">
        <f t="shared" ref="M46:M68" si="20">IFERROR(G46/F46-1,)</f>
        <v>0</v>
      </c>
      <c r="N46" s="82">
        <f t="shared" ref="N46:N68" si="21">IFERROR(H46/G46-1,)</f>
        <v>0</v>
      </c>
    </row>
    <row r="47" spans="1:14" ht="15.75" customHeight="1" outlineLevel="1" x14ac:dyDescent="0.25">
      <c r="A47" s="14"/>
      <c r="B47" s="68" t="s">
        <v>4</v>
      </c>
      <c r="C47" s="15"/>
      <c r="D47" s="29">
        <f>Inputs!J5</f>
        <v>2180</v>
      </c>
      <c r="E47" s="29">
        <f>Inputs!K5</f>
        <v>1090</v>
      </c>
      <c r="F47" s="29">
        <f>Inputs!L5</f>
        <v>1090</v>
      </c>
      <c r="G47" s="29">
        <f>Inputs!M5</f>
        <v>1090</v>
      </c>
      <c r="H47" s="29">
        <f>Inputs!N5</f>
        <v>1090</v>
      </c>
      <c r="I47" s="121">
        <f t="shared" ref="I47:I56" si="22">SUM(D47:H47)</f>
        <v>6540</v>
      </c>
      <c r="J47" s="30"/>
      <c r="K47" s="82">
        <f t="shared" ref="K47:K68" si="23">IFERROR(E47/D47-1,)</f>
        <v>-0.5</v>
      </c>
      <c r="L47" s="82">
        <f t="shared" si="19"/>
        <v>0</v>
      </c>
      <c r="M47" s="82">
        <f t="shared" si="20"/>
        <v>0</v>
      </c>
      <c r="N47" s="82">
        <f t="shared" si="21"/>
        <v>0</v>
      </c>
    </row>
    <row r="48" spans="1:14" ht="15.75" customHeight="1" outlineLevel="1" x14ac:dyDescent="0.25">
      <c r="A48" s="14"/>
      <c r="B48" t="s">
        <v>75</v>
      </c>
      <c r="C48" s="15"/>
      <c r="D48" s="29">
        <f>Inputs!J6</f>
        <v>5450</v>
      </c>
      <c r="E48" s="29">
        <f>Inputs!K6</f>
        <v>2725</v>
      </c>
      <c r="F48" s="29">
        <f>Inputs!L6</f>
        <v>2725</v>
      </c>
      <c r="G48" s="29">
        <f>Inputs!M6</f>
        <v>2725</v>
      </c>
      <c r="H48" s="29">
        <f>Inputs!N6</f>
        <v>2725</v>
      </c>
      <c r="I48" s="121">
        <f t="shared" si="22"/>
        <v>16350</v>
      </c>
      <c r="J48" s="30"/>
      <c r="K48" s="82">
        <f t="shared" si="23"/>
        <v>-0.5</v>
      </c>
      <c r="L48" s="82">
        <f t="shared" si="19"/>
        <v>0</v>
      </c>
      <c r="M48" s="82">
        <f t="shared" si="20"/>
        <v>0</v>
      </c>
      <c r="N48" s="82">
        <f t="shared" si="21"/>
        <v>0</v>
      </c>
    </row>
    <row r="49" spans="1:14" ht="15.75" customHeight="1" outlineLevel="1" x14ac:dyDescent="0.25">
      <c r="A49" s="14"/>
      <c r="B49" t="s">
        <v>76</v>
      </c>
      <c r="C49" s="15"/>
      <c r="D49" s="29">
        <f>Inputs!J7</f>
        <v>1090</v>
      </c>
      <c r="E49" s="29">
        <f>Inputs!K7</f>
        <v>545</v>
      </c>
      <c r="F49" s="29">
        <f>Inputs!L7</f>
        <v>545</v>
      </c>
      <c r="G49" s="29">
        <f>Inputs!M7</f>
        <v>545</v>
      </c>
      <c r="H49" s="29">
        <f>Inputs!N7</f>
        <v>545</v>
      </c>
      <c r="I49" s="121">
        <f t="shared" si="22"/>
        <v>3270</v>
      </c>
      <c r="J49" s="30"/>
      <c r="K49" s="82">
        <f t="shared" si="23"/>
        <v>-0.5</v>
      </c>
      <c r="L49" s="82">
        <f t="shared" si="19"/>
        <v>0</v>
      </c>
      <c r="M49" s="82">
        <f t="shared" si="20"/>
        <v>0</v>
      </c>
      <c r="N49" s="82">
        <f t="shared" si="21"/>
        <v>0</v>
      </c>
    </row>
    <row r="50" spans="1:14" ht="15.75" customHeight="1" outlineLevel="1" x14ac:dyDescent="0.25">
      <c r="A50" s="14"/>
      <c r="B50" t="s">
        <v>77</v>
      </c>
      <c r="C50" s="15"/>
      <c r="D50" s="29">
        <f>Inputs!J8</f>
        <v>1090</v>
      </c>
      <c r="E50" s="29">
        <f>Inputs!K8</f>
        <v>545</v>
      </c>
      <c r="F50" s="29">
        <f>Inputs!L8</f>
        <v>545</v>
      </c>
      <c r="G50" s="29">
        <f>Inputs!M8</f>
        <v>545</v>
      </c>
      <c r="H50" s="29">
        <f>Inputs!N8</f>
        <v>545</v>
      </c>
      <c r="I50" s="121">
        <f t="shared" si="22"/>
        <v>3270</v>
      </c>
      <c r="J50" s="30"/>
      <c r="K50" s="82">
        <f t="shared" si="23"/>
        <v>-0.5</v>
      </c>
      <c r="L50" s="82">
        <f t="shared" si="19"/>
        <v>0</v>
      </c>
      <c r="M50" s="82">
        <f t="shared" si="20"/>
        <v>0</v>
      </c>
      <c r="N50" s="82">
        <f t="shared" si="21"/>
        <v>0</v>
      </c>
    </row>
    <row r="51" spans="1:14" ht="15.75" customHeight="1" outlineLevel="1" x14ac:dyDescent="0.25">
      <c r="A51" s="14"/>
      <c r="B51" t="s">
        <v>78</v>
      </c>
      <c r="C51" s="14"/>
      <c r="D51" s="29">
        <f>Inputs!J9</f>
        <v>3270</v>
      </c>
      <c r="E51" s="29">
        <f>Inputs!K9</f>
        <v>1090</v>
      </c>
      <c r="F51" s="29">
        <f>Inputs!L9</f>
        <v>1090</v>
      </c>
      <c r="G51" s="29">
        <f>Inputs!M9</f>
        <v>1090</v>
      </c>
      <c r="H51" s="29">
        <f>Inputs!N9</f>
        <v>1090</v>
      </c>
      <c r="I51" s="121">
        <f t="shared" si="22"/>
        <v>7630</v>
      </c>
      <c r="J51" s="30"/>
      <c r="K51" s="82">
        <f t="shared" si="23"/>
        <v>-0.66666666666666674</v>
      </c>
      <c r="L51" s="82">
        <f t="shared" si="19"/>
        <v>0</v>
      </c>
      <c r="M51" s="82">
        <f t="shared" si="20"/>
        <v>0</v>
      </c>
      <c r="N51" s="82">
        <f t="shared" si="21"/>
        <v>0</v>
      </c>
    </row>
    <row r="52" spans="1:14" ht="15.75" customHeight="1" outlineLevel="1" x14ac:dyDescent="0.25">
      <c r="A52" s="14"/>
      <c r="B52" t="s">
        <v>79</v>
      </c>
      <c r="C52" s="15"/>
      <c r="D52" s="29">
        <f>Inputs!J10</f>
        <v>1090</v>
      </c>
      <c r="E52" s="29">
        <f>Inputs!K10</f>
        <v>545</v>
      </c>
      <c r="F52" s="29">
        <f>Inputs!L10</f>
        <v>545</v>
      </c>
      <c r="G52" s="29">
        <f>Inputs!M10</f>
        <v>545</v>
      </c>
      <c r="H52" s="29">
        <f>Inputs!N10</f>
        <v>545</v>
      </c>
      <c r="I52" s="121">
        <f t="shared" si="22"/>
        <v>3270</v>
      </c>
      <c r="J52" s="30"/>
      <c r="K52" s="82">
        <f t="shared" si="23"/>
        <v>-0.5</v>
      </c>
      <c r="L52" s="82">
        <f t="shared" si="19"/>
        <v>0</v>
      </c>
      <c r="M52" s="82">
        <f t="shared" si="20"/>
        <v>0</v>
      </c>
      <c r="N52" s="82">
        <f t="shared" si="21"/>
        <v>0</v>
      </c>
    </row>
    <row r="53" spans="1:14" ht="15.75" customHeight="1" outlineLevel="1" x14ac:dyDescent="0.25">
      <c r="A53" s="14"/>
      <c r="B53" t="s">
        <v>11</v>
      </c>
      <c r="C53" s="15"/>
      <c r="D53" s="29">
        <f>Inputs!J11</f>
        <v>872.00000000000011</v>
      </c>
      <c r="E53" s="29">
        <f>Inputs!K11</f>
        <v>872.00000000000011</v>
      </c>
      <c r="F53" s="29">
        <f>Inputs!L11</f>
        <v>872.00000000000011</v>
      </c>
      <c r="G53" s="29">
        <f>Inputs!M11</f>
        <v>872.00000000000011</v>
      </c>
      <c r="H53" s="29">
        <f>Inputs!N11</f>
        <v>872.00000000000011</v>
      </c>
      <c r="I53" s="121">
        <f t="shared" si="22"/>
        <v>4360.0000000000009</v>
      </c>
      <c r="J53" s="30"/>
      <c r="K53" s="82">
        <f t="shared" si="23"/>
        <v>0</v>
      </c>
      <c r="L53" s="82">
        <f t="shared" si="19"/>
        <v>0</v>
      </c>
      <c r="M53" s="82">
        <f t="shared" si="20"/>
        <v>0</v>
      </c>
      <c r="N53" s="82">
        <f t="shared" si="21"/>
        <v>0</v>
      </c>
    </row>
    <row r="54" spans="1:14" ht="15.75" customHeight="1" outlineLevel="1" x14ac:dyDescent="0.25">
      <c r="A54" s="14"/>
      <c r="B54" t="s">
        <v>81</v>
      </c>
      <c r="C54" s="15"/>
      <c r="D54" s="29">
        <f>Inputs!J12</f>
        <v>872.00000000000011</v>
      </c>
      <c r="E54" s="29">
        <f>Inputs!K12</f>
        <v>872.00000000000011</v>
      </c>
      <c r="F54" s="29">
        <f>Inputs!L12</f>
        <v>872.00000000000011</v>
      </c>
      <c r="G54" s="29">
        <f>Inputs!M12</f>
        <v>872.00000000000011</v>
      </c>
      <c r="H54" s="29">
        <f>Inputs!N12</f>
        <v>872.00000000000011</v>
      </c>
      <c r="I54" s="121">
        <f t="shared" si="22"/>
        <v>4360.0000000000009</v>
      </c>
      <c r="J54" s="30"/>
      <c r="K54" s="82">
        <f t="shared" si="23"/>
        <v>0</v>
      </c>
      <c r="L54" s="82">
        <f t="shared" si="19"/>
        <v>0</v>
      </c>
      <c r="M54" s="82">
        <f t="shared" si="20"/>
        <v>0</v>
      </c>
      <c r="N54" s="82">
        <f t="shared" si="21"/>
        <v>0</v>
      </c>
    </row>
    <row r="55" spans="1:14" ht="15.75" customHeight="1" outlineLevel="1" x14ac:dyDescent="0.25">
      <c r="A55" s="14"/>
      <c r="B55" s="1" t="s">
        <v>80</v>
      </c>
      <c r="C55" s="15"/>
      <c r="D55" s="29">
        <f>Inputs!J13</f>
        <v>5450</v>
      </c>
      <c r="E55" s="29">
        <f>Inputs!K13</f>
        <v>5450</v>
      </c>
      <c r="F55" s="29">
        <f>Inputs!L13</f>
        <v>5450</v>
      </c>
      <c r="G55" s="29">
        <f>Inputs!M13</f>
        <v>5450</v>
      </c>
      <c r="H55" s="29">
        <f>Inputs!N13</f>
        <v>5450</v>
      </c>
      <c r="I55" s="121">
        <f t="shared" si="22"/>
        <v>27250</v>
      </c>
      <c r="J55" s="30"/>
      <c r="K55" s="82">
        <f t="shared" si="23"/>
        <v>0</v>
      </c>
      <c r="L55" s="82">
        <f t="shared" si="19"/>
        <v>0</v>
      </c>
      <c r="M55" s="82">
        <f t="shared" si="20"/>
        <v>0</v>
      </c>
      <c r="N55" s="82">
        <f t="shared" si="21"/>
        <v>0</v>
      </c>
    </row>
    <row r="56" spans="1:14" ht="15.75" customHeight="1" outlineLevel="1" x14ac:dyDescent="0.25">
      <c r="A56" s="14"/>
      <c r="B56" t="s">
        <v>82</v>
      </c>
      <c r="C56" s="22"/>
      <c r="D56" s="29">
        <f>Inputs!J14</f>
        <v>10900</v>
      </c>
      <c r="E56" s="29">
        <f>Inputs!K14</f>
        <v>10900</v>
      </c>
      <c r="F56" s="29">
        <f>Inputs!L14</f>
        <v>10900</v>
      </c>
      <c r="G56" s="29">
        <f>Inputs!M14</f>
        <v>10900</v>
      </c>
      <c r="H56" s="29">
        <f>Inputs!N14</f>
        <v>10900</v>
      </c>
      <c r="I56" s="121">
        <f t="shared" si="22"/>
        <v>54500</v>
      </c>
      <c r="J56" s="30"/>
      <c r="K56" s="82">
        <f t="shared" si="23"/>
        <v>0</v>
      </c>
      <c r="L56" s="82">
        <f t="shared" si="19"/>
        <v>0</v>
      </c>
      <c r="M56" s="82">
        <f t="shared" si="20"/>
        <v>0</v>
      </c>
      <c r="N56" s="82">
        <f t="shared" si="21"/>
        <v>0</v>
      </c>
    </row>
    <row r="57" spans="1:14" ht="15.75" customHeight="1" x14ac:dyDescent="0.25">
      <c r="A57" s="14"/>
      <c r="B57" s="30"/>
      <c r="C57" s="41"/>
      <c r="D57" s="101">
        <f t="shared" ref="D57:I57" si="24">+D45/D$101</f>
        <v>0.10312570218905591</v>
      </c>
      <c r="E57" s="101">
        <f t="shared" si="24"/>
        <v>6.8692710909309992E-2</v>
      </c>
      <c r="F57" s="101">
        <f t="shared" si="24"/>
        <v>6.0137481123175712E-2</v>
      </c>
      <c r="G57" s="101">
        <f t="shared" si="24"/>
        <v>5.0675649838382096E-2</v>
      </c>
      <c r="H57" s="101">
        <f t="shared" si="24"/>
        <v>4.4943756203610116E-2</v>
      </c>
      <c r="I57" s="122">
        <f t="shared" si="24"/>
        <v>6.1695532123239201E-2</v>
      </c>
      <c r="J57" s="101">
        <f>SUM(D57:I57)</f>
        <v>0.38927083238677301</v>
      </c>
      <c r="K57" s="82"/>
      <c r="L57" s="82"/>
      <c r="M57" s="82"/>
      <c r="N57" s="82"/>
    </row>
    <row r="58" spans="1:14" ht="15.75" customHeight="1" x14ac:dyDescent="0.25">
      <c r="A58" s="14"/>
      <c r="B58" s="73" t="s">
        <v>40</v>
      </c>
      <c r="C58" s="74"/>
      <c r="D58" s="75">
        <f t="shared" ref="D58:I58" si="25">SUM(D59:D68)</f>
        <v>270756</v>
      </c>
      <c r="E58" s="75">
        <f t="shared" si="25"/>
        <v>335305.80000000005</v>
      </c>
      <c r="F58" s="75">
        <f t="shared" si="25"/>
        <v>390395.49</v>
      </c>
      <c r="G58" s="75">
        <f t="shared" si="25"/>
        <v>473248.62450000003</v>
      </c>
      <c r="H58" s="75">
        <f t="shared" si="25"/>
        <v>540458.29972500005</v>
      </c>
      <c r="I58" s="75">
        <f t="shared" si="25"/>
        <v>2010164.2142250002</v>
      </c>
      <c r="J58" s="30"/>
      <c r="K58" s="82">
        <f t="shared" ref="K58" si="26">IFERROR(E58/D58-1,)</f>
        <v>0.23840579710144949</v>
      </c>
      <c r="L58" s="82">
        <f t="shared" ref="L58" si="27">IFERROR(F58/E58-1,)</f>
        <v>0.164296859762044</v>
      </c>
      <c r="M58" s="82">
        <f t="shared" ref="M58" si="28">IFERROR(G58/F58-1,)</f>
        <v>0.21222871836967183</v>
      </c>
      <c r="N58" s="82">
        <f t="shared" ref="N58" si="29">IFERROR(H58/G58-1,)</f>
        <v>0.1420176874174941</v>
      </c>
    </row>
    <row r="59" spans="1:14" ht="15.75" customHeight="1" outlineLevel="1" x14ac:dyDescent="0.25">
      <c r="A59" s="14"/>
      <c r="B59" s="49" t="s">
        <v>89</v>
      </c>
      <c r="C59" s="22"/>
      <c r="D59" s="120">
        <f>Inputs!I27</f>
        <v>15696</v>
      </c>
      <c r="E59" s="120">
        <f>Inputs!J27</f>
        <v>16480.8</v>
      </c>
      <c r="F59" s="120">
        <f>Inputs!K27</f>
        <v>17304.84</v>
      </c>
      <c r="G59" s="120">
        <f>Inputs!L27</f>
        <v>18170.082000000002</v>
      </c>
      <c r="H59" s="120">
        <f>Inputs!M27</f>
        <v>19078.586100000004</v>
      </c>
      <c r="I59" s="102">
        <f>SUM(D59:H59)</f>
        <v>86730.308100000009</v>
      </c>
      <c r="K59" s="82">
        <f t="shared" si="23"/>
        <v>5.0000000000000044E-2</v>
      </c>
      <c r="L59" s="82">
        <f t="shared" si="19"/>
        <v>5.0000000000000044E-2</v>
      </c>
      <c r="M59" s="82">
        <f t="shared" si="20"/>
        <v>5.0000000000000044E-2</v>
      </c>
      <c r="N59" s="82">
        <f t="shared" si="21"/>
        <v>5.0000000000000044E-2</v>
      </c>
    </row>
    <row r="60" spans="1:14" ht="15.75" customHeight="1" outlineLevel="1" x14ac:dyDescent="0.25">
      <c r="A60" s="14"/>
      <c r="B60" s="49" t="s">
        <v>111</v>
      </c>
      <c r="C60" s="22"/>
      <c r="D60" s="120">
        <f>Inputs!I28</f>
        <v>19620.000000000004</v>
      </c>
      <c r="E60" s="120">
        <f>Inputs!J28</f>
        <v>20601.000000000004</v>
      </c>
      <c r="F60" s="120">
        <f>Inputs!K28</f>
        <v>21631.050000000007</v>
      </c>
      <c r="G60" s="120">
        <f>Inputs!L28</f>
        <v>22712.602500000008</v>
      </c>
      <c r="H60" s="120">
        <f>Inputs!M28</f>
        <v>23848.232625000008</v>
      </c>
      <c r="I60" s="102">
        <f>SUM(D60:H60)</f>
        <v>108412.88512500003</v>
      </c>
      <c r="J60" s="30"/>
      <c r="K60" s="82">
        <f t="shared" si="23"/>
        <v>5.0000000000000044E-2</v>
      </c>
      <c r="L60" s="82">
        <f t="shared" si="19"/>
        <v>5.0000000000000044E-2</v>
      </c>
      <c r="M60" s="82">
        <f t="shared" si="20"/>
        <v>5.0000000000000044E-2</v>
      </c>
      <c r="N60" s="82">
        <f t="shared" si="21"/>
        <v>5.0000000000000044E-2</v>
      </c>
    </row>
    <row r="61" spans="1:14" ht="15.75" customHeight="1" outlineLevel="1" x14ac:dyDescent="0.25">
      <c r="A61" s="14"/>
      <c r="B61" s="49" t="s">
        <v>112</v>
      </c>
      <c r="C61" s="22"/>
      <c r="D61" s="120"/>
      <c r="E61" s="120">
        <f>Inputs!I28</f>
        <v>19620.000000000004</v>
      </c>
      <c r="F61" s="120">
        <f>Inputs!J28</f>
        <v>20601.000000000004</v>
      </c>
      <c r="G61" s="120">
        <f>Inputs!K28</f>
        <v>21631.050000000007</v>
      </c>
      <c r="H61" s="120">
        <f>Inputs!L28</f>
        <v>22712.602500000008</v>
      </c>
      <c r="I61" s="102">
        <f t="shared" ref="I61:I68" si="30">SUM(D61:H61)</f>
        <v>84564.652500000026</v>
      </c>
      <c r="J61" s="30"/>
      <c r="K61" s="82">
        <f t="shared" si="23"/>
        <v>0</v>
      </c>
      <c r="L61" s="82">
        <f t="shared" si="19"/>
        <v>5.0000000000000044E-2</v>
      </c>
      <c r="M61" s="82">
        <f t="shared" si="20"/>
        <v>5.0000000000000044E-2</v>
      </c>
      <c r="N61" s="82">
        <f t="shared" si="21"/>
        <v>5.0000000000000044E-2</v>
      </c>
    </row>
    <row r="62" spans="1:14" ht="15.75" customHeight="1" outlineLevel="1" x14ac:dyDescent="0.25">
      <c r="A62" s="14"/>
      <c r="B62" s="49" t="s">
        <v>113</v>
      </c>
      <c r="C62" s="22"/>
      <c r="D62" s="120"/>
      <c r="E62" s="120">
        <f>Inputs!I28</f>
        <v>19620.000000000004</v>
      </c>
      <c r="F62" s="120">
        <f>Inputs!J28</f>
        <v>20601.000000000004</v>
      </c>
      <c r="G62" s="120">
        <f>Inputs!K28</f>
        <v>21631.050000000007</v>
      </c>
      <c r="H62" s="120">
        <f>Inputs!L28</f>
        <v>22712.602500000008</v>
      </c>
      <c r="I62" s="102">
        <f t="shared" si="30"/>
        <v>84564.652500000026</v>
      </c>
      <c r="J62" s="71"/>
      <c r="K62" s="82">
        <f t="shared" si="23"/>
        <v>0</v>
      </c>
      <c r="L62" s="82">
        <f t="shared" si="19"/>
        <v>5.0000000000000044E-2</v>
      </c>
      <c r="M62" s="82">
        <f t="shared" si="20"/>
        <v>5.0000000000000044E-2</v>
      </c>
      <c r="N62" s="82">
        <f t="shared" si="21"/>
        <v>5.0000000000000044E-2</v>
      </c>
    </row>
    <row r="63" spans="1:14" ht="15.75" customHeight="1" outlineLevel="1" x14ac:dyDescent="0.25">
      <c r="A63" s="14"/>
      <c r="B63" s="49" t="s">
        <v>153</v>
      </c>
      <c r="C63" s="22"/>
      <c r="D63" s="120"/>
      <c r="E63" s="120"/>
      <c r="F63" s="120">
        <f>Inputs!I28</f>
        <v>19620.000000000004</v>
      </c>
      <c r="G63" s="120">
        <f>Inputs!I28</f>
        <v>19620.000000000004</v>
      </c>
      <c r="H63" s="120">
        <f>Inputs!J28</f>
        <v>20601.000000000004</v>
      </c>
      <c r="I63" s="102">
        <f t="shared" si="30"/>
        <v>59841.000000000015</v>
      </c>
      <c r="J63" s="71"/>
      <c r="K63" s="82"/>
      <c r="L63" s="82"/>
      <c r="M63" s="82"/>
      <c r="N63" s="82"/>
    </row>
    <row r="64" spans="1:14" ht="15.75" customHeight="1" outlineLevel="1" x14ac:dyDescent="0.25">
      <c r="A64" s="14"/>
      <c r="B64" s="49" t="s">
        <v>154</v>
      </c>
      <c r="C64" s="22"/>
      <c r="D64" s="120"/>
      <c r="E64" s="120"/>
      <c r="F64" s="120"/>
      <c r="G64" s="120">
        <f>Inputs!I29</f>
        <v>23544.000000000004</v>
      </c>
      <c r="H64" s="120">
        <f>Inputs!J29</f>
        <v>24721.200000000004</v>
      </c>
      <c r="I64" s="102">
        <f t="shared" si="30"/>
        <v>48265.200000000012</v>
      </c>
      <c r="J64" s="30"/>
      <c r="K64" s="82">
        <f t="shared" si="23"/>
        <v>0</v>
      </c>
      <c r="L64" s="82">
        <f t="shared" si="19"/>
        <v>0</v>
      </c>
      <c r="M64" s="82">
        <f t="shared" si="20"/>
        <v>0</v>
      </c>
      <c r="N64" s="82">
        <f t="shared" si="21"/>
        <v>5.0000000000000044E-2</v>
      </c>
    </row>
    <row r="65" spans="1:14" ht="15.75" customHeight="1" outlineLevel="1" x14ac:dyDescent="0.25">
      <c r="A65" s="14"/>
      <c r="B65" s="49" t="s">
        <v>114</v>
      </c>
      <c r="C65" s="22"/>
      <c r="D65" s="120"/>
      <c r="E65" s="120"/>
      <c r="F65" s="120"/>
      <c r="G65" s="120">
        <f>Inputs!I28</f>
        <v>19620.000000000004</v>
      </c>
      <c r="H65" s="120">
        <f>Inputs!J28</f>
        <v>20601.000000000004</v>
      </c>
      <c r="I65" s="102">
        <f t="shared" si="30"/>
        <v>40221.000000000007</v>
      </c>
      <c r="J65" s="30"/>
      <c r="K65" s="82">
        <f t="shared" si="23"/>
        <v>0</v>
      </c>
      <c r="L65" s="82">
        <f t="shared" si="19"/>
        <v>0</v>
      </c>
      <c r="M65" s="82">
        <f t="shared" si="20"/>
        <v>0</v>
      </c>
      <c r="N65" s="82">
        <f t="shared" si="21"/>
        <v>5.0000000000000044E-2</v>
      </c>
    </row>
    <row r="66" spans="1:14" ht="15.75" customHeight="1" outlineLevel="1" x14ac:dyDescent="0.25">
      <c r="A66" s="14"/>
      <c r="B66" s="49" t="s">
        <v>152</v>
      </c>
      <c r="C66" s="22"/>
      <c r="D66" s="120"/>
      <c r="E66" s="120"/>
      <c r="F66" s="120"/>
      <c r="G66" s="120"/>
      <c r="H66" s="120">
        <f>Inputs!I28</f>
        <v>19620.000000000004</v>
      </c>
      <c r="I66" s="102">
        <f t="shared" si="30"/>
        <v>19620.000000000004</v>
      </c>
      <c r="J66" s="30"/>
      <c r="K66" s="82"/>
      <c r="L66" s="82"/>
      <c r="M66" s="82"/>
      <c r="N66" s="82"/>
    </row>
    <row r="67" spans="1:14" ht="15.75" customHeight="1" outlineLevel="1" x14ac:dyDescent="0.25">
      <c r="A67" s="14"/>
      <c r="B67" s="49" t="s">
        <v>115</v>
      </c>
      <c r="C67" s="22"/>
      <c r="D67" s="120">
        <f>Inputs!I30</f>
        <v>104640</v>
      </c>
      <c r="E67" s="120">
        <f>Inputs!J30</f>
        <v>115104.00000000001</v>
      </c>
      <c r="F67" s="120">
        <f>Inputs!K30</f>
        <v>132369.60000000001</v>
      </c>
      <c r="G67" s="120">
        <f>Inputs!L30</f>
        <v>152225.04</v>
      </c>
      <c r="H67" s="120">
        <f>Inputs!M30</f>
        <v>175058.796</v>
      </c>
      <c r="I67" s="102">
        <f t="shared" si="30"/>
        <v>679397.43599999999</v>
      </c>
      <c r="J67" s="30"/>
      <c r="K67" s="82">
        <f t="shared" si="23"/>
        <v>0.10000000000000009</v>
      </c>
      <c r="L67" s="82">
        <f t="shared" si="19"/>
        <v>0.14999999999999991</v>
      </c>
      <c r="M67" s="82">
        <f t="shared" si="20"/>
        <v>0.14999999999999991</v>
      </c>
      <c r="N67" s="82">
        <f t="shared" si="21"/>
        <v>0.14999999999999991</v>
      </c>
    </row>
    <row r="68" spans="1:14" ht="15.75" customHeight="1" outlineLevel="1" x14ac:dyDescent="0.25">
      <c r="A68" s="14"/>
      <c r="B68" s="49" t="s">
        <v>91</v>
      </c>
      <c r="C68" s="22"/>
      <c r="D68" s="120">
        <f>Inputs!I31</f>
        <v>130800</v>
      </c>
      <c r="E68" s="120">
        <f>Inputs!J31</f>
        <v>143880</v>
      </c>
      <c r="F68" s="120">
        <f>Inputs!K31</f>
        <v>158268</v>
      </c>
      <c r="G68" s="120">
        <f>Inputs!L31</f>
        <v>174094.80000000002</v>
      </c>
      <c r="H68" s="120">
        <f>Inputs!M31</f>
        <v>191504.28000000003</v>
      </c>
      <c r="I68" s="102">
        <f t="shared" si="30"/>
        <v>798547.08000000007</v>
      </c>
      <c r="J68" s="30"/>
      <c r="K68" s="82">
        <f t="shared" si="23"/>
        <v>0.10000000000000009</v>
      </c>
      <c r="L68" s="82">
        <f t="shared" si="19"/>
        <v>0.10000000000000009</v>
      </c>
      <c r="M68" s="82">
        <f t="shared" si="20"/>
        <v>0.10000000000000009</v>
      </c>
      <c r="N68" s="82">
        <f t="shared" si="21"/>
        <v>0.10000000000000009</v>
      </c>
    </row>
    <row r="69" spans="1:14" ht="15.75" customHeight="1" x14ac:dyDescent="0.25">
      <c r="A69" s="14"/>
      <c r="B69" s="49"/>
      <c r="C69" s="22"/>
      <c r="D69" s="101">
        <f t="shared" ref="D69:I69" si="31">+D58/D$101</f>
        <v>0.80051326324254646</v>
      </c>
      <c r="E69" s="101">
        <f t="shared" si="31"/>
        <v>0.84525006919687773</v>
      </c>
      <c r="F69" s="101">
        <f t="shared" si="31"/>
        <v>0.8615560150623095</v>
      </c>
      <c r="G69" s="101">
        <f t="shared" si="31"/>
        <v>0.88008005804249456</v>
      </c>
      <c r="H69" s="101">
        <f t="shared" si="31"/>
        <v>0.89138444260763472</v>
      </c>
      <c r="I69" s="122">
        <f t="shared" si="31"/>
        <v>0.86195545490481218</v>
      </c>
      <c r="J69" s="30"/>
      <c r="K69" s="14"/>
    </row>
    <row r="70" spans="1:14" ht="15.75" customHeight="1" x14ac:dyDescent="0.25">
      <c r="A70" s="14"/>
      <c r="B70" s="73" t="s">
        <v>97</v>
      </c>
      <c r="C70" s="73"/>
      <c r="D70" s="75">
        <f>D71</f>
        <v>2616.0000000000005</v>
      </c>
      <c r="E70" s="75">
        <f t="shared" ref="E70:H70" si="32">E71</f>
        <v>2877.6000000000008</v>
      </c>
      <c r="F70" s="75">
        <f t="shared" si="32"/>
        <v>3165.360000000001</v>
      </c>
      <c r="G70" s="75">
        <f t="shared" si="32"/>
        <v>3481.8960000000015</v>
      </c>
      <c r="H70" s="75">
        <f t="shared" si="32"/>
        <v>3830.0856000000022</v>
      </c>
      <c r="I70" s="75">
        <f>SUM(D71:H71)</f>
        <v>15970.941600000006</v>
      </c>
      <c r="J70" s="30"/>
      <c r="K70" s="82">
        <f t="shared" ref="K70" si="33">IFERROR(E70/D70-1,)</f>
        <v>0.10000000000000009</v>
      </c>
      <c r="L70" s="82">
        <f t="shared" ref="L70" si="34">IFERROR(F70/E70-1,)</f>
        <v>0.10000000000000009</v>
      </c>
      <c r="M70" s="82">
        <f t="shared" ref="M70" si="35">IFERROR(G70/F70-1,)</f>
        <v>0.10000000000000009</v>
      </c>
      <c r="N70" s="82">
        <f t="shared" ref="N70" si="36">IFERROR(H70/G70-1,)</f>
        <v>0.10000000000000009</v>
      </c>
    </row>
    <row r="71" spans="1:14" ht="15.75" customHeight="1" outlineLevel="1" x14ac:dyDescent="0.25">
      <c r="A71" s="14"/>
      <c r="B71" s="30" t="s">
        <v>93</v>
      </c>
      <c r="C71" s="22"/>
      <c r="D71" s="29">
        <f>Inputs!I34</f>
        <v>2616.0000000000005</v>
      </c>
      <c r="E71" s="29">
        <f>Inputs!J34</f>
        <v>2877.6000000000008</v>
      </c>
      <c r="F71" s="29">
        <f>Inputs!K34</f>
        <v>3165.360000000001</v>
      </c>
      <c r="G71" s="29">
        <f>Inputs!L34</f>
        <v>3481.8960000000015</v>
      </c>
      <c r="H71" s="29">
        <f>Inputs!M34</f>
        <v>3830.0856000000022</v>
      </c>
      <c r="I71" s="102">
        <f>SUM(D71:H71)</f>
        <v>15970.941600000006</v>
      </c>
      <c r="J71" s="30"/>
      <c r="K71" s="82">
        <f t="shared" ref="K71" si="37">IFERROR(E71/D71-1,)</f>
        <v>0.10000000000000009</v>
      </c>
      <c r="L71" s="82">
        <f t="shared" ref="L71" si="38">IFERROR(F71/E71-1,)</f>
        <v>0.10000000000000009</v>
      </c>
      <c r="M71" s="82">
        <f t="shared" ref="M71" si="39">IFERROR(G71/F71-1,)</f>
        <v>0.10000000000000009</v>
      </c>
      <c r="N71" s="82">
        <f t="shared" ref="N71" si="40">IFERROR(H71/G71-1,)</f>
        <v>0.10000000000000009</v>
      </c>
    </row>
    <row r="72" spans="1:14" ht="15.75" customHeight="1" x14ac:dyDescent="0.25">
      <c r="A72" s="14"/>
      <c r="B72" s="30"/>
      <c r="C72" s="22"/>
      <c r="D72" s="101">
        <f>+D70/D$101</f>
        <v>7.7344276641791937E-3</v>
      </c>
      <c r="E72" s="101">
        <f t="shared" ref="E72:I72" si="41">+E70/E$101</f>
        <v>7.253950272023137E-3</v>
      </c>
      <c r="F72" s="101">
        <f t="shared" si="41"/>
        <v>6.9855698072680932E-3</v>
      </c>
      <c r="G72" s="101">
        <f t="shared" si="41"/>
        <v>6.4751318337491143E-3</v>
      </c>
      <c r="H72" s="101">
        <f t="shared" si="41"/>
        <v>6.3170067319397389E-3</v>
      </c>
      <c r="I72" s="122">
        <f t="shared" si="41"/>
        <v>6.8483162393743226E-3</v>
      </c>
      <c r="J72" s="30"/>
      <c r="K72" s="14"/>
    </row>
    <row r="73" spans="1:14" ht="15.75" customHeight="1" x14ac:dyDescent="0.25">
      <c r="A73" s="14"/>
      <c r="B73" s="73" t="s">
        <v>119</v>
      </c>
      <c r="C73" s="73"/>
      <c r="D73" s="75">
        <f>SUM(D74:D77)</f>
        <v>28776.000000000004</v>
      </c>
      <c r="E73" s="75">
        <f t="shared" ref="E73:H73" si="42">SUM(E74:E77)</f>
        <v>29560.800000000003</v>
      </c>
      <c r="F73" s="75">
        <f t="shared" si="42"/>
        <v>30417.540000000005</v>
      </c>
      <c r="G73" s="75">
        <f t="shared" si="42"/>
        <v>31353.08700000001</v>
      </c>
      <c r="H73" s="75">
        <f t="shared" si="42"/>
        <v>32374.978350000009</v>
      </c>
      <c r="I73" s="75">
        <f>SUM(D73:H73)</f>
        <v>152482.40535000004</v>
      </c>
      <c r="J73" s="30"/>
      <c r="K73" s="82">
        <f t="shared" ref="K73" si="43">IFERROR(E73/D73-1,)</f>
        <v>2.7272727272727337E-2</v>
      </c>
      <c r="L73" s="82">
        <f t="shared" ref="L73" si="44">IFERROR(F73/E73-1,)</f>
        <v>2.8982300884955903E-2</v>
      </c>
      <c r="M73" s="82">
        <f t="shared" ref="M73" si="45">IFERROR(G73/F73-1,)</f>
        <v>3.0756826488927302E-2</v>
      </c>
      <c r="N73" s="82">
        <f t="shared" ref="N73" si="46">IFERROR(H73/G73-1,)</f>
        <v>3.2593005913580386E-2</v>
      </c>
    </row>
    <row r="74" spans="1:14" ht="15.75" customHeight="1" outlineLevel="1" x14ac:dyDescent="0.25">
      <c r="A74" s="14"/>
      <c r="B74" s="49" t="s">
        <v>86</v>
      </c>
      <c r="C74" s="14"/>
      <c r="D74" s="29">
        <f>Inputs!I19</f>
        <v>19620.000000000004</v>
      </c>
      <c r="E74" s="29">
        <f>Inputs!J19</f>
        <v>19620.000000000004</v>
      </c>
      <c r="F74" s="29">
        <f>Inputs!K19</f>
        <v>19620.000000000004</v>
      </c>
      <c r="G74" s="29">
        <f>Inputs!L19</f>
        <v>19620.000000000004</v>
      </c>
      <c r="H74" s="29">
        <f>Inputs!M19</f>
        <v>19620.000000000004</v>
      </c>
      <c r="I74" s="102">
        <f t="shared" ref="I74:I77" si="47">SUM(D74:H74)</f>
        <v>98100.000000000015</v>
      </c>
      <c r="J74" s="30"/>
      <c r="K74" s="82">
        <f t="shared" ref="K74:K77" si="48">IFERROR(E74/D74-1,)</f>
        <v>0</v>
      </c>
      <c r="L74" s="82">
        <f t="shared" ref="L74:L77" si="49">IFERROR(F74/E74-1,)</f>
        <v>0</v>
      </c>
      <c r="M74" s="82">
        <f t="shared" ref="M74:M77" si="50">IFERROR(G74/F74-1,)</f>
        <v>0</v>
      </c>
      <c r="N74" s="82">
        <f t="shared" ref="N74:N77" si="51">IFERROR(H74/G74-1,)</f>
        <v>0</v>
      </c>
    </row>
    <row r="75" spans="1:14" ht="15.75" customHeight="1" outlineLevel="1" x14ac:dyDescent="0.25">
      <c r="A75" s="14"/>
      <c r="B75" s="49" t="s">
        <v>117</v>
      </c>
      <c r="C75" s="14"/>
      <c r="D75" s="29">
        <f>Inputs!I20</f>
        <v>5232.0000000000009</v>
      </c>
      <c r="E75" s="29">
        <f>Inputs!J20</f>
        <v>5755.2000000000016</v>
      </c>
      <c r="F75" s="29">
        <f>Inputs!K20</f>
        <v>6330.7200000000021</v>
      </c>
      <c r="G75" s="29">
        <f>Inputs!L20</f>
        <v>6963.7920000000031</v>
      </c>
      <c r="H75" s="29">
        <f>Inputs!M20</f>
        <v>7660.1712000000043</v>
      </c>
      <c r="I75" s="102">
        <f t="shared" si="47"/>
        <v>31941.883200000011</v>
      </c>
      <c r="J75" s="30"/>
      <c r="K75" s="82">
        <f t="shared" si="48"/>
        <v>0.10000000000000009</v>
      </c>
      <c r="L75" s="82">
        <f t="shared" si="49"/>
        <v>0.10000000000000009</v>
      </c>
      <c r="M75" s="82">
        <f t="shared" si="50"/>
        <v>0.10000000000000009</v>
      </c>
      <c r="N75" s="82">
        <f t="shared" si="51"/>
        <v>0.10000000000000009</v>
      </c>
    </row>
    <row r="76" spans="1:14" ht="15.75" customHeight="1" outlineLevel="1" x14ac:dyDescent="0.25">
      <c r="A76" s="14"/>
      <c r="B76" s="49" t="s">
        <v>87</v>
      </c>
      <c r="C76" s="14"/>
      <c r="D76" s="29">
        <f>Inputs!I21</f>
        <v>1308.0000000000002</v>
      </c>
      <c r="E76" s="29">
        <f>Inputs!J21</f>
        <v>1438.8000000000004</v>
      </c>
      <c r="F76" s="29">
        <f>Inputs!K21</f>
        <v>1582.6800000000005</v>
      </c>
      <c r="G76" s="29">
        <f>Inputs!L21</f>
        <v>1740.9480000000008</v>
      </c>
      <c r="H76" s="29">
        <f>Inputs!M21</f>
        <v>1915.0428000000011</v>
      </c>
      <c r="I76" s="102">
        <f t="shared" si="47"/>
        <v>7985.4708000000028</v>
      </c>
      <c r="J76" s="30"/>
      <c r="K76" s="82">
        <f t="shared" si="48"/>
        <v>0.10000000000000009</v>
      </c>
      <c r="L76" s="82">
        <f t="shared" si="49"/>
        <v>0.10000000000000009</v>
      </c>
      <c r="M76" s="82">
        <f t="shared" si="50"/>
        <v>0.10000000000000009</v>
      </c>
      <c r="N76" s="82">
        <f t="shared" si="51"/>
        <v>0.10000000000000009</v>
      </c>
    </row>
    <row r="77" spans="1:14" ht="15.75" customHeight="1" outlineLevel="1" x14ac:dyDescent="0.25">
      <c r="A77" s="14"/>
      <c r="B77" s="48" t="s">
        <v>96</v>
      </c>
      <c r="C77" s="14"/>
      <c r="D77" s="29">
        <f>Inputs!I22</f>
        <v>2616.0000000000005</v>
      </c>
      <c r="E77" s="29">
        <f>Inputs!J22</f>
        <v>2746.8000000000006</v>
      </c>
      <c r="F77" s="29">
        <f>Inputs!K22</f>
        <v>2884.1400000000008</v>
      </c>
      <c r="G77" s="29">
        <f>Inputs!L22</f>
        <v>3028.3470000000011</v>
      </c>
      <c r="H77" s="29">
        <f>Inputs!M22</f>
        <v>3179.7643500000013</v>
      </c>
      <c r="I77" s="102">
        <f t="shared" si="47"/>
        <v>14455.051350000005</v>
      </c>
      <c r="J77" s="30"/>
      <c r="K77" s="82">
        <f t="shared" si="48"/>
        <v>5.0000000000000044E-2</v>
      </c>
      <c r="L77" s="82">
        <f t="shared" si="49"/>
        <v>5.0000000000000044E-2</v>
      </c>
      <c r="M77" s="82">
        <f t="shared" si="50"/>
        <v>5.0000000000000044E-2</v>
      </c>
      <c r="N77" s="82">
        <f t="shared" si="51"/>
        <v>5.0000000000000044E-2</v>
      </c>
    </row>
    <row r="78" spans="1:14" ht="15.75" customHeight="1" x14ac:dyDescent="0.25">
      <c r="A78" s="14"/>
      <c r="D78" s="101">
        <f>+D73/D$101</f>
        <v>8.5078704305971128E-2</v>
      </c>
      <c r="E78" s="101">
        <f t="shared" ref="E78:I78" si="52">+E73/E$101</f>
        <v>7.4517852794419484E-2</v>
      </c>
      <c r="F78" s="101">
        <f t="shared" si="52"/>
        <v>6.7127861928933663E-2</v>
      </c>
      <c r="G78" s="101">
        <f t="shared" si="52"/>
        <v>5.830598378584699E-2</v>
      </c>
      <c r="H78" s="101">
        <f t="shared" si="52"/>
        <v>5.3396445286589218E-2</v>
      </c>
      <c r="I78" s="122">
        <f t="shared" si="52"/>
        <v>6.5384230869472537E-2</v>
      </c>
      <c r="J78" s="30"/>
      <c r="K78" s="14"/>
    </row>
    <row r="79" spans="1:14" ht="15.75" customHeight="1" outlineLevel="1" x14ac:dyDescent="0.25">
      <c r="A79" s="14"/>
      <c r="D79" s="101"/>
      <c r="E79" s="101"/>
      <c r="F79" s="101"/>
      <c r="G79" s="101"/>
      <c r="H79" s="101"/>
      <c r="I79" s="122"/>
      <c r="J79" s="30"/>
      <c r="K79" s="14"/>
    </row>
    <row r="80" spans="1:14" s="132" customFormat="1" ht="15.75" customHeight="1" outlineLevel="1" x14ac:dyDescent="0.25">
      <c r="A80" s="127"/>
      <c r="B80" s="128" t="s">
        <v>99</v>
      </c>
      <c r="C80" s="129">
        <f>SUM(C81:C89)</f>
        <v>6000</v>
      </c>
      <c r="D80" s="129">
        <f t="shared" ref="D80:H80" si="53">SUM(D81:D89)</f>
        <v>1500</v>
      </c>
      <c r="E80" s="129">
        <f t="shared" si="53"/>
        <v>5500</v>
      </c>
      <c r="F80" s="129">
        <f t="shared" si="53"/>
        <v>7500</v>
      </c>
      <c r="G80" s="129">
        <f t="shared" si="53"/>
        <v>9500</v>
      </c>
      <c r="H80" s="129">
        <f t="shared" si="53"/>
        <v>10500</v>
      </c>
      <c r="I80" s="129">
        <f>SUM(D80:H80)</f>
        <v>34500</v>
      </c>
      <c r="J80" s="130" t="s">
        <v>157</v>
      </c>
      <c r="K80" s="131">
        <f t="shared" ref="K80:K89" si="54">IFERROR(E80/D80-1,)</f>
        <v>2.6666666666666665</v>
      </c>
      <c r="L80" s="131">
        <f t="shared" ref="L80:L89" si="55">IFERROR(F80/E80-1,)</f>
        <v>0.36363636363636354</v>
      </c>
      <c r="M80" s="131">
        <f t="shared" ref="M80:M89" si="56">IFERROR(G80/F80-1,)</f>
        <v>0.26666666666666661</v>
      </c>
      <c r="N80" s="131">
        <f t="shared" ref="N80:N89" si="57">IFERROR(H80/G80-1,)</f>
        <v>0.10526315789473695</v>
      </c>
    </row>
    <row r="81" spans="1:14" s="132" customFormat="1" ht="15.75" customHeight="1" outlineLevel="1" x14ac:dyDescent="0.25">
      <c r="A81" s="127"/>
      <c r="B81" s="133" t="s">
        <v>100</v>
      </c>
      <c r="C81" s="134">
        <v>500</v>
      </c>
      <c r="D81" s="134"/>
      <c r="E81" s="134"/>
      <c r="F81" s="134"/>
      <c r="G81" s="134"/>
      <c r="H81" s="134"/>
      <c r="I81" s="135">
        <f t="shared" ref="I81:I89" si="58">SUM(D81:H81)</f>
        <v>0</v>
      </c>
      <c r="J81" s="130" t="s">
        <v>157</v>
      </c>
      <c r="K81" s="131">
        <f t="shared" si="54"/>
        <v>0</v>
      </c>
      <c r="L81" s="131">
        <f t="shared" si="55"/>
        <v>0</v>
      </c>
      <c r="M81" s="131">
        <f t="shared" si="56"/>
        <v>0</v>
      </c>
      <c r="N81" s="131">
        <f t="shared" si="57"/>
        <v>0</v>
      </c>
    </row>
    <row r="82" spans="1:14" s="132" customFormat="1" ht="15.75" customHeight="1" outlineLevel="1" x14ac:dyDescent="0.25">
      <c r="A82" s="127"/>
      <c r="B82" s="133" t="s">
        <v>101</v>
      </c>
      <c r="C82" s="134">
        <v>1000</v>
      </c>
      <c r="D82" s="134"/>
      <c r="E82" s="134"/>
      <c r="F82" s="134"/>
      <c r="G82" s="134"/>
      <c r="H82" s="134"/>
      <c r="I82" s="135">
        <f t="shared" si="58"/>
        <v>0</v>
      </c>
      <c r="J82" s="130" t="s">
        <v>157</v>
      </c>
      <c r="K82" s="131">
        <f t="shared" si="54"/>
        <v>0</v>
      </c>
      <c r="L82" s="131">
        <f t="shared" si="55"/>
        <v>0</v>
      </c>
      <c r="M82" s="131">
        <f t="shared" si="56"/>
        <v>0</v>
      </c>
      <c r="N82" s="131">
        <f t="shared" si="57"/>
        <v>0</v>
      </c>
    </row>
    <row r="83" spans="1:14" s="132" customFormat="1" ht="15.75" customHeight="1" outlineLevel="1" x14ac:dyDescent="0.25">
      <c r="A83" s="127"/>
      <c r="B83" s="133" t="s">
        <v>125</v>
      </c>
      <c r="C83" s="134">
        <v>1000</v>
      </c>
      <c r="D83" s="134"/>
      <c r="E83" s="134"/>
      <c r="F83" s="134">
        <v>1000</v>
      </c>
      <c r="G83" s="134"/>
      <c r="H83" s="134">
        <v>1000</v>
      </c>
      <c r="I83" s="135">
        <f t="shared" si="58"/>
        <v>2000</v>
      </c>
      <c r="J83" s="130" t="s">
        <v>157</v>
      </c>
      <c r="K83" s="131">
        <f t="shared" si="54"/>
        <v>0</v>
      </c>
      <c r="L83" s="131">
        <f t="shared" si="55"/>
        <v>0</v>
      </c>
      <c r="M83" s="131">
        <f t="shared" si="56"/>
        <v>-1</v>
      </c>
      <c r="N83" s="131">
        <f t="shared" si="57"/>
        <v>0</v>
      </c>
    </row>
    <row r="84" spans="1:14" s="132" customFormat="1" ht="15.75" customHeight="1" outlineLevel="1" x14ac:dyDescent="0.25">
      <c r="A84" s="127"/>
      <c r="B84" s="133" t="s">
        <v>126</v>
      </c>
      <c r="C84" s="134"/>
      <c r="D84" s="134"/>
      <c r="E84" s="134">
        <v>1000</v>
      </c>
      <c r="F84" s="134"/>
      <c r="G84" s="134">
        <v>1000</v>
      </c>
      <c r="H84" s="134"/>
      <c r="I84" s="135">
        <f t="shared" si="58"/>
        <v>2000</v>
      </c>
      <c r="J84" s="130" t="s">
        <v>157</v>
      </c>
      <c r="K84" s="131">
        <f t="shared" si="54"/>
        <v>0</v>
      </c>
      <c r="L84" s="131">
        <f t="shared" si="55"/>
        <v>-1</v>
      </c>
      <c r="M84" s="131">
        <f t="shared" si="56"/>
        <v>0</v>
      </c>
      <c r="N84" s="131">
        <f t="shared" si="57"/>
        <v>-1</v>
      </c>
    </row>
    <row r="85" spans="1:14" s="132" customFormat="1" ht="15.75" customHeight="1" outlineLevel="1" x14ac:dyDescent="0.25">
      <c r="A85" s="127"/>
      <c r="B85" s="133" t="s">
        <v>127</v>
      </c>
      <c r="C85" s="134"/>
      <c r="D85" s="134"/>
      <c r="E85" s="134"/>
      <c r="F85" s="134"/>
      <c r="G85" s="134">
        <v>1000</v>
      </c>
      <c r="H85" s="134"/>
      <c r="I85" s="135">
        <f t="shared" si="58"/>
        <v>1000</v>
      </c>
      <c r="J85" s="130" t="s">
        <v>157</v>
      </c>
      <c r="K85" s="131">
        <f t="shared" si="54"/>
        <v>0</v>
      </c>
      <c r="L85" s="131">
        <f t="shared" si="55"/>
        <v>0</v>
      </c>
      <c r="M85" s="131">
        <f t="shared" si="56"/>
        <v>0</v>
      </c>
      <c r="N85" s="131">
        <f t="shared" si="57"/>
        <v>-1</v>
      </c>
    </row>
    <row r="86" spans="1:14" s="132" customFormat="1" ht="15.75" customHeight="1" outlineLevel="1" x14ac:dyDescent="0.25">
      <c r="A86" s="127"/>
      <c r="B86" s="133" t="s">
        <v>88</v>
      </c>
      <c r="C86" s="134">
        <v>500</v>
      </c>
      <c r="D86" s="134">
        <v>500</v>
      </c>
      <c r="E86" s="134">
        <v>500</v>
      </c>
      <c r="F86" s="134">
        <v>500</v>
      </c>
      <c r="G86" s="134">
        <v>500</v>
      </c>
      <c r="H86" s="134">
        <v>500</v>
      </c>
      <c r="I86" s="135">
        <f t="shared" si="58"/>
        <v>2500</v>
      </c>
      <c r="J86" s="130" t="s">
        <v>157</v>
      </c>
      <c r="K86" s="131">
        <f t="shared" si="54"/>
        <v>0</v>
      </c>
      <c r="L86" s="131">
        <f t="shared" si="55"/>
        <v>0</v>
      </c>
      <c r="M86" s="131">
        <f t="shared" si="56"/>
        <v>0</v>
      </c>
      <c r="N86" s="131">
        <f t="shared" si="57"/>
        <v>0</v>
      </c>
    </row>
    <row r="87" spans="1:14" s="132" customFormat="1" ht="15.75" customHeight="1" outlineLevel="1" x14ac:dyDescent="0.25">
      <c r="A87" s="127"/>
      <c r="B87" s="136" t="s">
        <v>105</v>
      </c>
      <c r="C87" s="134">
        <v>1000</v>
      </c>
      <c r="D87" s="134"/>
      <c r="E87" s="134"/>
      <c r="F87" s="134">
        <v>1000</v>
      </c>
      <c r="G87" s="134"/>
      <c r="H87" s="134"/>
      <c r="I87" s="135">
        <f t="shared" si="58"/>
        <v>1000</v>
      </c>
      <c r="J87" s="130" t="s">
        <v>157</v>
      </c>
      <c r="K87" s="131">
        <f t="shared" si="54"/>
        <v>0</v>
      </c>
      <c r="L87" s="131">
        <f t="shared" si="55"/>
        <v>0</v>
      </c>
      <c r="M87" s="131">
        <f t="shared" si="56"/>
        <v>-1</v>
      </c>
      <c r="N87" s="131">
        <f t="shared" si="57"/>
        <v>0</v>
      </c>
    </row>
    <row r="88" spans="1:14" s="132" customFormat="1" ht="15.75" customHeight="1" outlineLevel="1" x14ac:dyDescent="0.25">
      <c r="A88" s="127"/>
      <c r="B88" s="136" t="s">
        <v>106</v>
      </c>
      <c r="C88" s="134">
        <v>1000</v>
      </c>
      <c r="D88" s="134"/>
      <c r="E88" s="134"/>
      <c r="F88" s="134"/>
      <c r="G88" s="134"/>
      <c r="H88" s="134"/>
      <c r="I88" s="135">
        <f t="shared" si="58"/>
        <v>0</v>
      </c>
      <c r="J88" s="130" t="s">
        <v>157</v>
      </c>
      <c r="K88" s="131">
        <f t="shared" si="54"/>
        <v>0</v>
      </c>
      <c r="L88" s="131">
        <f t="shared" si="55"/>
        <v>0</v>
      </c>
      <c r="M88" s="131">
        <f t="shared" si="56"/>
        <v>0</v>
      </c>
      <c r="N88" s="131">
        <f t="shared" si="57"/>
        <v>0</v>
      </c>
    </row>
    <row r="89" spans="1:14" s="132" customFormat="1" ht="15.75" customHeight="1" outlineLevel="1" x14ac:dyDescent="0.25">
      <c r="A89" s="127"/>
      <c r="B89" s="136" t="s">
        <v>107</v>
      </c>
      <c r="C89" s="134">
        <v>1000</v>
      </c>
      <c r="D89" s="134">
        <v>1000</v>
      </c>
      <c r="E89" s="134">
        <v>4000</v>
      </c>
      <c r="F89" s="134">
        <v>5000</v>
      </c>
      <c r="G89" s="134">
        <v>7000</v>
      </c>
      <c r="H89" s="134">
        <v>9000</v>
      </c>
      <c r="I89" s="135">
        <f t="shared" si="58"/>
        <v>26000</v>
      </c>
      <c r="J89" s="130" t="s">
        <v>157</v>
      </c>
      <c r="K89" s="131">
        <f t="shared" si="54"/>
        <v>3</v>
      </c>
      <c r="L89" s="131">
        <f t="shared" si="55"/>
        <v>0.25</v>
      </c>
      <c r="M89" s="131">
        <f t="shared" si="56"/>
        <v>0.39999999999999991</v>
      </c>
      <c r="N89" s="131">
        <f t="shared" si="57"/>
        <v>0.28571428571428581</v>
      </c>
    </row>
    <row r="90" spans="1:14" ht="15.75" customHeight="1" outlineLevel="1" x14ac:dyDescent="0.25">
      <c r="A90" s="14"/>
      <c r="B90" s="30"/>
      <c r="C90" s="29"/>
      <c r="D90" s="101">
        <f>+D80/D$101</f>
        <v>4.4348782478091705E-3</v>
      </c>
      <c r="E90" s="101">
        <f>+E80/E$101</f>
        <v>1.3864583853255227E-2</v>
      </c>
      <c r="F90" s="101">
        <f>+F80/F$101</f>
        <v>1.6551600309130929E-2</v>
      </c>
      <c r="G90" s="101">
        <f>+G80/G$101</f>
        <v>1.766674031062862E-2</v>
      </c>
      <c r="H90" s="101">
        <f>+H80/H$101</f>
        <v>1.7317777619739679E-2</v>
      </c>
      <c r="I90" s="122"/>
      <c r="J90" s="30"/>
      <c r="K90" s="14"/>
    </row>
    <row r="91" spans="1:14" s="86" customFormat="1" ht="15.75" customHeight="1" x14ac:dyDescent="0.25">
      <c r="A91" s="36"/>
      <c r="B91" s="76" t="s">
        <v>129</v>
      </c>
      <c r="C91" s="76"/>
      <c r="D91" s="84">
        <f>SUM(D92:D99)</f>
        <v>1200</v>
      </c>
      <c r="E91" s="84">
        <f t="shared" ref="E91:H91" si="59">SUM(E92:E99)</f>
        <v>1700</v>
      </c>
      <c r="F91" s="84">
        <f t="shared" si="59"/>
        <v>1900</v>
      </c>
      <c r="G91" s="84">
        <f t="shared" si="59"/>
        <v>2400</v>
      </c>
      <c r="H91" s="84">
        <f t="shared" si="59"/>
        <v>2400</v>
      </c>
      <c r="I91" s="84">
        <f>SUM(D91:H91)</f>
        <v>9600</v>
      </c>
      <c r="J91" s="37"/>
      <c r="K91" s="85">
        <f t="shared" ref="K91" si="60">IFERROR(E91/D91-1,)</f>
        <v>0.41666666666666674</v>
      </c>
      <c r="L91" s="85">
        <f t="shared" ref="L91" si="61">IFERROR(F91/E91-1,)</f>
        <v>0.11764705882352944</v>
      </c>
      <c r="M91" s="85">
        <f t="shared" ref="M91" si="62">IFERROR(G91/F91-1,)</f>
        <v>0.26315789473684204</v>
      </c>
      <c r="N91" s="85">
        <f t="shared" ref="N91" si="63">IFERROR(H91/G91-1,)</f>
        <v>0</v>
      </c>
    </row>
    <row r="92" spans="1:14" s="86" customFormat="1" ht="15.75" customHeight="1" outlineLevel="1" x14ac:dyDescent="0.25">
      <c r="A92" s="36"/>
      <c r="B92" s="87" t="s">
        <v>100</v>
      </c>
      <c r="C92" s="88">
        <v>0.2</v>
      </c>
      <c r="D92" s="89">
        <f>+$C81*$C92</f>
        <v>100</v>
      </c>
      <c r="E92" s="89">
        <f t="shared" ref="E92:H92" si="64">+$C81*$C92</f>
        <v>100</v>
      </c>
      <c r="F92" s="89">
        <f t="shared" si="64"/>
        <v>100</v>
      </c>
      <c r="G92" s="89">
        <f t="shared" si="64"/>
        <v>100</v>
      </c>
      <c r="H92" s="89">
        <f t="shared" si="64"/>
        <v>100</v>
      </c>
      <c r="I92" s="123">
        <f t="shared" ref="I92:I99" si="65">SUM(D92:H92)</f>
        <v>500</v>
      </c>
      <c r="J92" s="98"/>
      <c r="K92" s="36"/>
    </row>
    <row r="93" spans="1:14" s="86" customFormat="1" ht="15.75" customHeight="1" outlineLevel="1" x14ac:dyDescent="0.25">
      <c r="A93" s="38"/>
      <c r="B93" s="87" t="s">
        <v>101</v>
      </c>
      <c r="C93" s="88">
        <v>0.2</v>
      </c>
      <c r="D93" s="89">
        <f>+$C82*$C93</f>
        <v>200</v>
      </c>
      <c r="E93" s="89">
        <f t="shared" ref="E93:H93" si="66">+$C82*$C93</f>
        <v>200</v>
      </c>
      <c r="F93" s="89">
        <f t="shared" si="66"/>
        <v>200</v>
      </c>
      <c r="G93" s="89">
        <f t="shared" si="66"/>
        <v>200</v>
      </c>
      <c r="H93" s="89">
        <f t="shared" si="66"/>
        <v>200</v>
      </c>
      <c r="I93" s="123">
        <f t="shared" si="65"/>
        <v>1000</v>
      </c>
      <c r="J93" s="92"/>
      <c r="K93" s="38"/>
    </row>
    <row r="94" spans="1:14" s="86" customFormat="1" ht="15.75" customHeight="1" outlineLevel="1" x14ac:dyDescent="0.25">
      <c r="A94" s="38"/>
      <c r="B94" s="87" t="s">
        <v>125</v>
      </c>
      <c r="C94" s="88">
        <v>0.5</v>
      </c>
      <c r="D94" s="89">
        <f>+$C83*$C94</f>
        <v>500</v>
      </c>
      <c r="E94" s="89">
        <f t="shared" ref="E94:H94" si="67">+$C83*$C94</f>
        <v>500</v>
      </c>
      <c r="F94" s="89">
        <f t="shared" si="67"/>
        <v>500</v>
      </c>
      <c r="G94" s="89">
        <f t="shared" si="67"/>
        <v>500</v>
      </c>
      <c r="H94" s="89">
        <f t="shared" si="67"/>
        <v>500</v>
      </c>
      <c r="I94" s="123">
        <f t="shared" si="65"/>
        <v>2500</v>
      </c>
      <c r="J94" s="92"/>
      <c r="K94" s="38"/>
    </row>
    <row r="95" spans="1:14" s="86" customFormat="1" ht="15.75" customHeight="1" outlineLevel="1" x14ac:dyDescent="0.25">
      <c r="A95" s="38"/>
      <c r="B95" s="87" t="s">
        <v>126</v>
      </c>
      <c r="C95" s="88">
        <v>0.5</v>
      </c>
      <c r="D95" s="89"/>
      <c r="E95" s="89">
        <f>+$C83*$C95</f>
        <v>500</v>
      </c>
      <c r="F95" s="89">
        <f t="shared" ref="F95:H95" si="68">+$C83*$C95</f>
        <v>500</v>
      </c>
      <c r="G95" s="89">
        <f t="shared" si="68"/>
        <v>500</v>
      </c>
      <c r="H95" s="89">
        <f t="shared" si="68"/>
        <v>500</v>
      </c>
      <c r="I95" s="123">
        <f t="shared" si="65"/>
        <v>2000</v>
      </c>
      <c r="J95" s="92"/>
      <c r="K95" s="38"/>
    </row>
    <row r="96" spans="1:14" s="86" customFormat="1" ht="15.75" customHeight="1" outlineLevel="1" x14ac:dyDescent="0.25">
      <c r="A96" s="38"/>
      <c r="B96" s="87" t="s">
        <v>127</v>
      </c>
      <c r="C96" s="88">
        <v>0.5</v>
      </c>
      <c r="D96" s="89"/>
      <c r="E96" s="89"/>
      <c r="F96" s="89"/>
      <c r="G96" s="89">
        <f>+$C83*$C96</f>
        <v>500</v>
      </c>
      <c r="H96" s="89">
        <f>+$C83*$C96</f>
        <v>500</v>
      </c>
      <c r="I96" s="123">
        <f t="shared" si="65"/>
        <v>1000</v>
      </c>
      <c r="J96" s="92"/>
      <c r="K96" s="38"/>
    </row>
    <row r="97" spans="1:14" s="86" customFormat="1" ht="15.75" customHeight="1" outlineLevel="1" x14ac:dyDescent="0.25">
      <c r="A97" s="38"/>
      <c r="B97" s="90" t="s">
        <v>131</v>
      </c>
      <c r="C97" s="88">
        <v>0.2</v>
      </c>
      <c r="D97" s="89">
        <f>+$C87*$C97</f>
        <v>200</v>
      </c>
      <c r="E97" s="89">
        <f t="shared" ref="E97:H97" si="69">+$C87*$C97</f>
        <v>200</v>
      </c>
      <c r="F97" s="89">
        <f t="shared" si="69"/>
        <v>200</v>
      </c>
      <c r="G97" s="89">
        <f t="shared" si="69"/>
        <v>200</v>
      </c>
      <c r="H97" s="89">
        <f t="shared" si="69"/>
        <v>200</v>
      </c>
      <c r="I97" s="123">
        <f t="shared" si="65"/>
        <v>1000</v>
      </c>
      <c r="J97" s="92"/>
      <c r="K97" s="38"/>
    </row>
    <row r="98" spans="1:14" s="86" customFormat="1" ht="15.75" customHeight="1" outlineLevel="1" x14ac:dyDescent="0.25">
      <c r="A98" s="38"/>
      <c r="B98" s="90" t="s">
        <v>132</v>
      </c>
      <c r="C98" s="88">
        <v>0.2</v>
      </c>
      <c r="D98" s="89"/>
      <c r="E98" s="89"/>
      <c r="F98" s="89">
        <f>+$C87*$C98</f>
        <v>200</v>
      </c>
      <c r="G98" s="89">
        <f t="shared" ref="G98:H98" si="70">+$C87*$C98</f>
        <v>200</v>
      </c>
      <c r="H98" s="89">
        <f t="shared" si="70"/>
        <v>200</v>
      </c>
      <c r="I98" s="123">
        <f t="shared" si="65"/>
        <v>600</v>
      </c>
      <c r="J98" s="40"/>
      <c r="K98" s="38"/>
    </row>
    <row r="99" spans="1:14" s="86" customFormat="1" ht="15.75" customHeight="1" outlineLevel="1" x14ac:dyDescent="0.25">
      <c r="A99" s="38"/>
      <c r="B99" s="90" t="s">
        <v>106</v>
      </c>
      <c r="C99" s="88">
        <v>0.2</v>
      </c>
      <c r="D99" s="89">
        <f>+$C89*$C99</f>
        <v>200</v>
      </c>
      <c r="E99" s="89">
        <f t="shared" ref="E99:H99" si="71">+$C89*$C99</f>
        <v>200</v>
      </c>
      <c r="F99" s="89">
        <f t="shared" si="71"/>
        <v>200</v>
      </c>
      <c r="G99" s="89">
        <f t="shared" si="71"/>
        <v>200</v>
      </c>
      <c r="H99" s="89">
        <f t="shared" si="71"/>
        <v>200</v>
      </c>
      <c r="I99" s="123">
        <f t="shared" si="65"/>
        <v>1000</v>
      </c>
      <c r="J99" s="40"/>
      <c r="K99" s="38"/>
    </row>
    <row r="100" spans="1:14" ht="15.75" customHeight="1" x14ac:dyDescent="0.25">
      <c r="A100" s="38"/>
      <c r="B100" s="48"/>
      <c r="C100" s="72"/>
      <c r="D100" s="101">
        <f>+D91/D$101</f>
        <v>3.5479025982473361E-3</v>
      </c>
      <c r="E100" s="101">
        <f t="shared" ref="E100:I100" si="72">+E91/E$101</f>
        <v>4.2854168273697979E-3</v>
      </c>
      <c r="F100" s="101">
        <f t="shared" si="72"/>
        <v>4.1930720783131693E-3</v>
      </c>
      <c r="G100" s="101">
        <f t="shared" si="72"/>
        <v>4.4631764995272305E-3</v>
      </c>
      <c r="H100" s="101">
        <f t="shared" si="72"/>
        <v>3.9583491702262124E-3</v>
      </c>
      <c r="I100" s="122">
        <f t="shared" si="72"/>
        <v>4.1164658631018649E-3</v>
      </c>
      <c r="J100" s="40"/>
      <c r="K100" s="38"/>
    </row>
    <row r="101" spans="1:14" ht="15.75" customHeight="1" x14ac:dyDescent="0.25">
      <c r="A101" s="38"/>
      <c r="B101" s="21" t="s">
        <v>39</v>
      </c>
      <c r="C101" s="39"/>
      <c r="D101" s="39">
        <f>D45+D58+D70+D73+D91</f>
        <v>338228</v>
      </c>
      <c r="E101" s="39">
        <f t="shared" ref="E101:H101" si="73">E45+E58+E70+E73+E91</f>
        <v>396694.2</v>
      </c>
      <c r="F101" s="39">
        <f t="shared" si="73"/>
        <v>453128.38999999996</v>
      </c>
      <c r="G101" s="39">
        <f t="shared" si="73"/>
        <v>537733.60750000004</v>
      </c>
      <c r="H101" s="39">
        <f t="shared" si="73"/>
        <v>606313.36367500003</v>
      </c>
      <c r="I101" s="75">
        <f>SUM(D101:H101)</f>
        <v>2332097.5611749999</v>
      </c>
      <c r="J101" s="40"/>
      <c r="K101" s="82">
        <f t="shared" ref="K101" si="74">IFERROR(E101/D101-1,)</f>
        <v>0.17286031907470711</v>
      </c>
      <c r="L101" s="82">
        <f t="shared" ref="L101" si="75">IFERROR(F101/E101-1,)</f>
        <v>0.1422611926264612</v>
      </c>
      <c r="M101" s="82">
        <f t="shared" ref="M101" si="76">IFERROR(G101/F101-1,)</f>
        <v>0.1867135658836121</v>
      </c>
      <c r="N101" s="82">
        <f t="shared" ref="N101" si="77">IFERROR(H101/G101-1,)</f>
        <v>0.127534815043153</v>
      </c>
    </row>
    <row r="102" spans="1:14" ht="15.75" customHeight="1" x14ac:dyDescent="0.25">
      <c r="A102" s="36"/>
      <c r="B102" s="37"/>
      <c r="C102" s="36"/>
      <c r="D102" s="91"/>
      <c r="E102" s="36"/>
      <c r="F102" s="36"/>
      <c r="G102" s="36"/>
      <c r="H102" s="36"/>
      <c r="I102" s="103"/>
      <c r="J102" s="37"/>
      <c r="K102" s="36"/>
    </row>
    <row r="103" spans="1:14" ht="15.75" customHeight="1" x14ac:dyDescent="0.25">
      <c r="A103" s="14"/>
      <c r="B103" s="26" t="s">
        <v>38</v>
      </c>
      <c r="C103" s="26"/>
      <c r="D103" s="25">
        <f>D39-D101</f>
        <v>-81994.75</v>
      </c>
      <c r="E103" s="25">
        <f>E39-E101</f>
        <v>121440.29999999999</v>
      </c>
      <c r="F103" s="25">
        <f>F39-F101</f>
        <v>201624.73500000004</v>
      </c>
      <c r="G103" s="25">
        <f>G39-G101</f>
        <v>370714.3550000001</v>
      </c>
      <c r="H103" s="25">
        <f>H39-H101</f>
        <v>677652.59882500011</v>
      </c>
      <c r="I103" s="25">
        <f>SUM(D103:H103)</f>
        <v>1289437.2388250004</v>
      </c>
      <c r="J103" s="30"/>
      <c r="K103" s="14"/>
    </row>
    <row r="104" spans="1:14" ht="15.75" customHeight="1" x14ac:dyDescent="0.25">
      <c r="A104" s="14"/>
      <c r="B104" s="30" t="s">
        <v>156</v>
      </c>
      <c r="C104" s="15"/>
      <c r="D104" s="29">
        <f>D103*0.25</f>
        <v>-20498.6875</v>
      </c>
      <c r="E104" s="29">
        <f t="shared" ref="E104:H104" si="78">E103*0.25</f>
        <v>30360.074999999997</v>
      </c>
      <c r="F104" s="29">
        <f t="shared" si="78"/>
        <v>50406.183750000011</v>
      </c>
      <c r="G104" s="29">
        <f t="shared" si="78"/>
        <v>92678.588750000024</v>
      </c>
      <c r="H104" s="29">
        <f t="shared" si="78"/>
        <v>169413.14970625003</v>
      </c>
      <c r="I104" s="35">
        <f>SUM(D104:H104)</f>
        <v>322359.30970625009</v>
      </c>
      <c r="J104" s="30"/>
      <c r="K104" s="14"/>
    </row>
    <row r="105" spans="1:14" ht="15.75" customHeight="1" x14ac:dyDescent="0.25">
      <c r="A105" s="14"/>
      <c r="B105" s="26" t="s">
        <v>37</v>
      </c>
      <c r="C105" s="26"/>
      <c r="D105" s="25">
        <f>D103-D104</f>
        <v>-61496.0625</v>
      </c>
      <c r="E105" s="25">
        <f>E103-E104</f>
        <v>91080.224999999991</v>
      </c>
      <c r="F105" s="25">
        <f>F103-F104</f>
        <v>151218.55125000002</v>
      </c>
      <c r="G105" s="25">
        <f>G103-G104</f>
        <v>278035.7662500001</v>
      </c>
      <c r="H105" s="25">
        <f>H103-H104</f>
        <v>508239.44911875005</v>
      </c>
      <c r="I105" s="25">
        <f>SUM(D105:H105)</f>
        <v>967077.92911875015</v>
      </c>
      <c r="J105" s="30"/>
      <c r="K105" s="14"/>
    </row>
    <row r="106" spans="1:14" ht="15.75" customHeight="1" x14ac:dyDescent="0.25">
      <c r="A106" s="14"/>
      <c r="B106" s="28"/>
      <c r="C106" s="15"/>
      <c r="D106" s="15"/>
      <c r="E106" s="15"/>
      <c r="F106" s="15"/>
      <c r="G106" s="15"/>
      <c r="H106" s="15"/>
      <c r="I106" s="15"/>
      <c r="J106" s="30"/>
      <c r="K106" s="14"/>
    </row>
    <row r="107" spans="1:14" ht="15.75" customHeight="1" x14ac:dyDescent="0.25">
      <c r="A107" s="14"/>
      <c r="B107" s="26" t="s">
        <v>28</v>
      </c>
      <c r="C107" s="26"/>
      <c r="D107" s="25">
        <f>D103+D91</f>
        <v>-80794.75</v>
      </c>
      <c r="E107" s="25">
        <f t="shared" ref="E107:H107" si="79">E103+E91</f>
        <v>123140.29999999999</v>
      </c>
      <c r="F107" s="25">
        <f t="shared" si="79"/>
        <v>203524.73500000004</v>
      </c>
      <c r="G107" s="25">
        <f t="shared" si="79"/>
        <v>373114.3550000001</v>
      </c>
      <c r="H107" s="25">
        <f t="shared" si="79"/>
        <v>680052.59882500011</v>
      </c>
      <c r="I107" s="25">
        <f>SUM(D107:H107)</f>
        <v>1299037.2388250004</v>
      </c>
      <c r="J107" s="30"/>
      <c r="K107" s="14"/>
    </row>
    <row r="108" spans="1:14" ht="15.75" customHeight="1" x14ac:dyDescent="0.25">
      <c r="A108" s="14"/>
      <c r="B108" s="28" t="s">
        <v>36</v>
      </c>
      <c r="C108" s="15"/>
      <c r="D108" s="34">
        <f t="shared" ref="D108:I108" si="80">D107/D27</f>
        <v>-0.25755254987217169</v>
      </c>
      <c r="E108" s="34">
        <f t="shared" si="80"/>
        <v>0.19451231455505849</v>
      </c>
      <c r="F108" s="34">
        <f t="shared" si="80"/>
        <v>0.25490776841907509</v>
      </c>
      <c r="G108" s="34">
        <f t="shared" si="80"/>
        <v>0.33713675555991085</v>
      </c>
      <c r="H108" s="34">
        <f t="shared" si="80"/>
        <v>0.43518091235852757</v>
      </c>
      <c r="I108" s="34">
        <f t="shared" si="80"/>
        <v>0.29425909350908763</v>
      </c>
      <c r="K108" s="30"/>
      <c r="L108" s="14"/>
    </row>
    <row r="109" spans="1:14" ht="15.75" customHeight="1" x14ac:dyDescent="0.25">
      <c r="A109" s="14"/>
      <c r="B109" s="28"/>
      <c r="C109" s="15"/>
      <c r="D109" s="15"/>
      <c r="E109" s="15"/>
      <c r="F109" s="15"/>
      <c r="G109" s="15"/>
      <c r="H109" s="15"/>
      <c r="I109" s="15"/>
      <c r="J109" s="30"/>
      <c r="K109" s="14"/>
    </row>
    <row r="110" spans="1:14" ht="15.75" customHeight="1" x14ac:dyDescent="0.25">
      <c r="A110" s="14"/>
      <c r="B110" s="21" t="s">
        <v>34</v>
      </c>
      <c r="C110" s="20"/>
      <c r="D110" s="20" t="s">
        <v>33</v>
      </c>
      <c r="E110" s="20" t="s">
        <v>32</v>
      </c>
      <c r="F110" s="20" t="s">
        <v>31</v>
      </c>
      <c r="G110" s="20" t="s">
        <v>30</v>
      </c>
      <c r="H110" s="20" t="s">
        <v>29</v>
      </c>
      <c r="I110" s="20" t="s">
        <v>35</v>
      </c>
      <c r="J110" s="30"/>
      <c r="K110" s="14"/>
    </row>
    <row r="111" spans="1:14" ht="15.75" customHeight="1" x14ac:dyDescent="0.25">
      <c r="A111" s="14"/>
      <c r="B111" s="28"/>
      <c r="C111" s="15"/>
      <c r="D111" s="15"/>
      <c r="E111" s="15"/>
      <c r="F111" s="15"/>
      <c r="G111" s="15"/>
      <c r="H111" s="15"/>
      <c r="I111" s="15"/>
    </row>
    <row r="112" spans="1:14" ht="15.75" customHeight="1" x14ac:dyDescent="0.25">
      <c r="A112" s="14"/>
      <c r="B112" s="26" t="s">
        <v>28</v>
      </c>
      <c r="C112" s="26"/>
      <c r="D112" s="25">
        <f>D103+D91</f>
        <v>-80794.75</v>
      </c>
      <c r="E112" s="25">
        <f t="shared" ref="E112:H112" si="81">E103+E91</f>
        <v>123140.29999999999</v>
      </c>
      <c r="F112" s="25">
        <f t="shared" si="81"/>
        <v>203524.73500000004</v>
      </c>
      <c r="G112" s="25">
        <f t="shared" si="81"/>
        <v>373114.3550000001</v>
      </c>
      <c r="H112" s="25">
        <f t="shared" si="81"/>
        <v>680052.59882500011</v>
      </c>
      <c r="I112" s="25">
        <f>SUM(D112:H112)</f>
        <v>1299037.2388250004</v>
      </c>
      <c r="K112" s="30" t="s">
        <v>142</v>
      </c>
    </row>
    <row r="113" spans="1:11" ht="15.75" customHeight="1" x14ac:dyDescent="0.25">
      <c r="A113" s="14"/>
      <c r="B113" s="30" t="s">
        <v>27</v>
      </c>
      <c r="C113" s="15"/>
      <c r="D113" s="29">
        <f>-D103*0.25</f>
        <v>20498.6875</v>
      </c>
      <c r="E113" s="29">
        <f t="shared" ref="E113:H113" si="82">-E103*0.25</f>
        <v>-30360.074999999997</v>
      </c>
      <c r="F113" s="29">
        <f t="shared" si="82"/>
        <v>-50406.183750000011</v>
      </c>
      <c r="G113" s="29">
        <f t="shared" si="82"/>
        <v>-92678.588750000024</v>
      </c>
      <c r="H113" s="29">
        <f t="shared" si="82"/>
        <v>-169413.14970625003</v>
      </c>
      <c r="I113" s="29">
        <f>SUM(D113:H113)</f>
        <v>-322359.30970625009</v>
      </c>
      <c r="K113" s="30" t="s">
        <v>143</v>
      </c>
    </row>
    <row r="114" spans="1:11" ht="15.75" customHeight="1" x14ac:dyDescent="0.25">
      <c r="A114" s="14"/>
      <c r="B114" s="30" t="s">
        <v>26</v>
      </c>
      <c r="C114" s="15"/>
      <c r="D114" s="29"/>
      <c r="E114" s="29"/>
      <c r="F114" s="29"/>
      <c r="G114" s="29"/>
      <c r="H114" s="29"/>
      <c r="I114" s="29">
        <f>SUM(D114:H114)</f>
        <v>0</v>
      </c>
      <c r="K114" s="96"/>
    </row>
    <row r="115" spans="1:11" ht="15.75" hidden="1" customHeight="1" x14ac:dyDescent="0.2">
      <c r="A115" s="31"/>
      <c r="B115" s="33" t="s">
        <v>25</v>
      </c>
      <c r="C115" s="31"/>
      <c r="D115" s="32"/>
      <c r="E115" s="32"/>
      <c r="F115" s="32"/>
      <c r="G115" s="32"/>
      <c r="H115" s="32"/>
      <c r="I115" s="32"/>
      <c r="K115" s="99"/>
    </row>
    <row r="116" spans="1:11" ht="15.75" customHeight="1" x14ac:dyDescent="0.25">
      <c r="A116" s="14"/>
      <c r="B116" s="30" t="s">
        <v>24</v>
      </c>
      <c r="C116" s="15"/>
      <c r="D116" s="29">
        <f>-D80</f>
        <v>-1500</v>
      </c>
      <c r="E116" s="29">
        <f t="shared" ref="E116:H116" si="83">-E80</f>
        <v>-5500</v>
      </c>
      <c r="F116" s="29">
        <f t="shared" si="83"/>
        <v>-7500</v>
      </c>
      <c r="G116" s="29">
        <f t="shared" si="83"/>
        <v>-9500</v>
      </c>
      <c r="H116" s="29">
        <f t="shared" si="83"/>
        <v>-10500</v>
      </c>
      <c r="I116" s="29">
        <f>SUM(D116:H116)</f>
        <v>-34500</v>
      </c>
      <c r="K116" s="100"/>
    </row>
    <row r="117" spans="1:11" ht="15.75" customHeight="1" x14ac:dyDescent="0.25">
      <c r="A117" s="14"/>
      <c r="B117" s="26" t="s">
        <v>23</v>
      </c>
      <c r="C117" s="25">
        <f>-C80</f>
        <v>-6000</v>
      </c>
      <c r="D117" s="25">
        <f>D112+D113+D114+D116</f>
        <v>-61796.0625</v>
      </c>
      <c r="E117" s="25">
        <f t="shared" ref="E117:H117" si="84">E112+E113+E114+E116</f>
        <v>87280.224999999991</v>
      </c>
      <c r="F117" s="25">
        <f t="shared" si="84"/>
        <v>145618.55125000002</v>
      </c>
      <c r="G117" s="25">
        <f t="shared" si="84"/>
        <v>270935.7662500001</v>
      </c>
      <c r="H117" s="25">
        <f t="shared" si="84"/>
        <v>500139.44911875005</v>
      </c>
      <c r="I117" s="25">
        <f>SUM(D117:H117)</f>
        <v>942177.92911875015</v>
      </c>
      <c r="K117" s="30"/>
    </row>
    <row r="118" spans="1:11" ht="15.75" customHeight="1" x14ac:dyDescent="0.25">
      <c r="A118" s="14"/>
      <c r="B118" s="28" t="s">
        <v>22</v>
      </c>
      <c r="C118" s="15"/>
      <c r="D118" s="15"/>
      <c r="E118" s="15"/>
      <c r="F118" s="15"/>
      <c r="G118" s="15"/>
      <c r="H118" s="22">
        <f>((H117*1.1)/(D$125-D$126))*0</f>
        <v>0</v>
      </c>
      <c r="I118" s="15"/>
      <c r="K118" s="30" t="s">
        <v>139</v>
      </c>
    </row>
    <row r="119" spans="1:11" ht="15.75" customHeight="1" x14ac:dyDescent="0.25">
      <c r="A119" s="14"/>
      <c r="B119" s="26" t="s">
        <v>21</v>
      </c>
      <c r="C119" s="25">
        <f>C117</f>
        <v>-6000</v>
      </c>
      <c r="D119" s="24">
        <f>D117</f>
        <v>-61796.0625</v>
      </c>
      <c r="E119" s="24">
        <f>E117</f>
        <v>87280.224999999991</v>
      </c>
      <c r="F119" s="24">
        <f>F117</f>
        <v>145618.55125000002</v>
      </c>
      <c r="G119" s="24">
        <f>G117</f>
        <v>270935.7662500001</v>
      </c>
      <c r="H119" s="24">
        <f>H117+H118</f>
        <v>500139.44911875005</v>
      </c>
      <c r="I119" s="15"/>
      <c r="K119" s="30"/>
    </row>
    <row r="120" spans="1:11" ht="15.75" customHeight="1" x14ac:dyDescent="0.25">
      <c r="A120" s="14"/>
      <c r="B120" s="15"/>
      <c r="C120" s="15"/>
      <c r="D120" s="15"/>
      <c r="E120" s="22"/>
      <c r="F120" s="22"/>
      <c r="G120" s="22"/>
      <c r="H120" s="22"/>
      <c r="I120" s="15"/>
      <c r="K120" s="30"/>
    </row>
    <row r="121" spans="1:11" ht="15.75" customHeight="1" x14ac:dyDescent="0.25">
      <c r="A121" s="14"/>
      <c r="B121" s="26" t="s">
        <v>20</v>
      </c>
      <c r="C121" s="25">
        <f>C119</f>
        <v>-6000</v>
      </c>
      <c r="D121" s="24">
        <f>D119/(1+$D$125)^1</f>
        <v>-53735.706521739135</v>
      </c>
      <c r="E121" s="24">
        <f>E119/(1+$D$125)^2</f>
        <v>65996.389413988669</v>
      </c>
      <c r="F121" s="24">
        <f>F119/(1+$D$125)^3</f>
        <v>95746.561190104418</v>
      </c>
      <c r="G121" s="24">
        <f>G119/(1+$D$125)^4</f>
        <v>154908.40370067299</v>
      </c>
      <c r="H121" s="24">
        <f>H119/(1+$D$125)^5</f>
        <v>248657.69850674531</v>
      </c>
      <c r="I121" s="15"/>
      <c r="J121" s="30"/>
      <c r="K121" s="14"/>
    </row>
    <row r="122" spans="1:11" ht="15.75" customHeight="1" x14ac:dyDescent="0.25">
      <c r="A122" s="14"/>
      <c r="B122" s="15"/>
      <c r="C122" s="23"/>
      <c r="D122" s="23"/>
      <c r="E122" s="23"/>
      <c r="F122" s="23"/>
      <c r="G122" s="23"/>
      <c r="H122" s="23"/>
      <c r="I122" s="22"/>
      <c r="J122" s="30"/>
      <c r="K122" s="14"/>
    </row>
    <row r="123" spans="1:11" ht="15.75" customHeight="1" x14ac:dyDescent="0.25">
      <c r="A123" s="14"/>
      <c r="B123" s="21" t="s">
        <v>19</v>
      </c>
      <c r="C123" s="20"/>
      <c r="D123" s="20"/>
      <c r="E123" s="20"/>
      <c r="F123" s="20"/>
      <c r="G123" s="20"/>
      <c r="H123" s="19">
        <f t="array" ref="H123">NPV(D125,D119:H119)+C119</f>
        <v>505573.34628977231</v>
      </c>
      <c r="I123" s="15"/>
      <c r="J123" s="30"/>
      <c r="K123" s="14"/>
    </row>
    <row r="124" spans="1:11" ht="15.75" customHeight="1" x14ac:dyDescent="0.25">
      <c r="A124" s="14"/>
      <c r="B124" s="15"/>
      <c r="C124" s="15"/>
      <c r="D124" s="15"/>
      <c r="E124" s="15"/>
      <c r="F124" s="15"/>
      <c r="G124" s="15"/>
      <c r="H124" s="104">
        <f>SUM(C121:H121)-H123</f>
        <v>0</v>
      </c>
      <c r="I124" s="15"/>
      <c r="J124" s="30"/>
      <c r="K124" s="14"/>
    </row>
    <row r="125" spans="1:11" ht="15.75" customHeight="1" x14ac:dyDescent="0.25">
      <c r="A125" s="14"/>
      <c r="B125" s="11" t="s">
        <v>18</v>
      </c>
      <c r="C125" s="17"/>
      <c r="D125" s="12">
        <f>'[1]Flujos_x segmento_x mes Año 1'!P171</f>
        <v>0.15</v>
      </c>
      <c r="F125" s="15"/>
      <c r="G125" s="15"/>
      <c r="H125" s="18"/>
      <c r="I125" s="15"/>
      <c r="J125" s="30"/>
      <c r="K125" s="28"/>
    </row>
    <row r="126" spans="1:11" ht="15.75" customHeight="1" x14ac:dyDescent="0.25">
      <c r="A126" s="14"/>
      <c r="B126" s="11" t="s">
        <v>17</v>
      </c>
      <c r="C126" s="17"/>
      <c r="D126" s="12">
        <f>'[1]Flujos_x segmento_x mes Año 1'!P172</f>
        <v>0.02</v>
      </c>
      <c r="E126" s="6" t="s">
        <v>155</v>
      </c>
      <c r="F126" s="15"/>
      <c r="G126" s="15"/>
      <c r="H126" s="16"/>
      <c r="I126" s="15"/>
      <c r="J126" s="30"/>
      <c r="K126" s="15"/>
    </row>
    <row r="127" spans="1:11" ht="15.75" customHeight="1" x14ac:dyDescent="0.25">
      <c r="B127" s="11" t="s">
        <v>16</v>
      </c>
      <c r="C127" s="13"/>
      <c r="D127" s="12">
        <f>IRR(C119:H119,0)</f>
        <v>1.6603341305724508</v>
      </c>
    </row>
    <row r="128" spans="1:11" ht="15.75" customHeight="1" x14ac:dyDescent="0.25">
      <c r="B128" s="11"/>
      <c r="C128" s="11"/>
      <c r="D128" s="10"/>
    </row>
    <row r="129" spans="2:10" ht="15.75" customHeight="1" x14ac:dyDescent="0.2"/>
    <row r="130" spans="2:10" ht="15.75" customHeight="1" x14ac:dyDescent="0.25">
      <c r="B130" s="8" t="s">
        <v>15</v>
      </c>
      <c r="C130" s="9"/>
      <c r="D130" s="9"/>
      <c r="E130" s="9"/>
      <c r="F130" s="9"/>
      <c r="G130" s="9"/>
      <c r="H130" s="7">
        <f>-C121/H123</f>
        <v>1.1867714237769696E-2</v>
      </c>
      <c r="J130" s="6"/>
    </row>
    <row r="131" spans="2:10" ht="15.75" customHeight="1" x14ac:dyDescent="0.2">
      <c r="J131" s="6"/>
    </row>
    <row r="132" spans="2:10" ht="15.75" customHeight="1" x14ac:dyDescent="0.2">
      <c r="C132" s="65"/>
      <c r="D132" s="65"/>
      <c r="E132" s="65"/>
      <c r="F132" s="65"/>
      <c r="G132" s="65"/>
      <c r="H132" s="65"/>
      <c r="I132" s="65"/>
      <c r="J132" s="6"/>
    </row>
    <row r="133" spans="2:10" ht="15.75" customHeight="1" x14ac:dyDescent="0.2">
      <c r="B133" s="65"/>
      <c r="C133" s="65"/>
      <c r="D133" s="65"/>
      <c r="E133" s="65"/>
      <c r="F133" s="65"/>
      <c r="G133" s="65"/>
      <c r="H133" s="65"/>
      <c r="I133" s="65"/>
      <c r="J133" s="6"/>
    </row>
    <row r="134" spans="2:10" ht="15.75" customHeight="1" x14ac:dyDescent="0.2">
      <c r="C134" s="65"/>
      <c r="D134" s="65"/>
      <c r="E134" s="65"/>
      <c r="F134" s="65"/>
      <c r="G134" s="65"/>
      <c r="H134" s="65"/>
      <c r="I134" s="65"/>
      <c r="J134" s="6"/>
    </row>
    <row r="135" spans="2:10" ht="15.75" customHeight="1" x14ac:dyDescent="0.2">
      <c r="C135" s="65"/>
      <c r="D135" s="65"/>
      <c r="E135" s="65"/>
      <c r="F135" s="65"/>
      <c r="G135" s="65"/>
      <c r="H135" s="65"/>
      <c r="I135" s="65"/>
      <c r="J135" s="6"/>
    </row>
    <row r="136" spans="2:10" ht="15.75" customHeight="1" x14ac:dyDescent="0.2">
      <c r="C136" s="65"/>
      <c r="D136" s="65"/>
      <c r="E136" s="65"/>
      <c r="F136" s="65"/>
      <c r="G136" s="65"/>
      <c r="H136" s="65"/>
      <c r="I136" s="65"/>
      <c r="J136" s="6"/>
    </row>
    <row r="137" spans="2:10" ht="15.75" customHeight="1" x14ac:dyDescent="0.2">
      <c r="C137" s="65"/>
      <c r="D137" s="65"/>
      <c r="E137" s="65"/>
      <c r="F137" s="65"/>
      <c r="G137" s="65"/>
      <c r="H137" s="65"/>
      <c r="I137" s="65"/>
      <c r="J137" s="6"/>
    </row>
    <row r="138" spans="2:10" ht="15.75" customHeight="1" x14ac:dyDescent="0.2">
      <c r="C138" s="65"/>
      <c r="D138" s="65"/>
      <c r="E138" s="65"/>
      <c r="F138" s="65"/>
      <c r="G138" s="65"/>
      <c r="H138" s="65"/>
      <c r="I138" s="65"/>
      <c r="J138" s="6"/>
    </row>
    <row r="139" spans="2:10" ht="15.75" customHeight="1" x14ac:dyDescent="0.2">
      <c r="C139" s="65"/>
      <c r="D139" s="65"/>
      <c r="E139" s="65"/>
      <c r="F139" s="65"/>
      <c r="G139" s="65"/>
      <c r="H139" s="65"/>
      <c r="I139" s="65"/>
      <c r="J139" s="6"/>
    </row>
    <row r="140" spans="2:10" ht="15.75" customHeight="1" x14ac:dyDescent="0.2">
      <c r="C140" s="65"/>
      <c r="D140" s="65"/>
      <c r="E140" s="65"/>
      <c r="F140" s="65"/>
      <c r="G140" s="65"/>
      <c r="H140" s="65"/>
      <c r="I140" s="65"/>
      <c r="J140" s="6"/>
    </row>
    <row r="141" spans="2:10" ht="15.75" customHeight="1" x14ac:dyDescent="0.2">
      <c r="J141" s="6"/>
    </row>
    <row r="142" spans="2:10" ht="15.75" customHeight="1" x14ac:dyDescent="0.2">
      <c r="J142" s="6"/>
    </row>
    <row r="143" spans="2:10" ht="15.75" customHeight="1" x14ac:dyDescent="0.2">
      <c r="J143" s="6"/>
    </row>
    <row r="144" spans="2:10" ht="15.75" customHeight="1" x14ac:dyDescent="0.2">
      <c r="J144" s="6"/>
    </row>
    <row r="145" spans="10:10" ht="15.75" customHeight="1" x14ac:dyDescent="0.2">
      <c r="J145" s="6"/>
    </row>
    <row r="146" spans="10:10" ht="15.75" customHeight="1" x14ac:dyDescent="0.2">
      <c r="J146" s="6"/>
    </row>
    <row r="147" spans="10:10" ht="15.75" customHeight="1" x14ac:dyDescent="0.2">
      <c r="J147" s="6"/>
    </row>
    <row r="148" spans="10:10" ht="15.75" customHeight="1" x14ac:dyDescent="0.2">
      <c r="J148" s="6"/>
    </row>
    <row r="149" spans="10:10" ht="15.75" customHeight="1" x14ac:dyDescent="0.2">
      <c r="J149" s="6"/>
    </row>
    <row r="150" spans="10:10" ht="15.75" customHeight="1" x14ac:dyDescent="0.2">
      <c r="J150" s="6"/>
    </row>
    <row r="151" spans="10:10" ht="15.75" customHeight="1" x14ac:dyDescent="0.2">
      <c r="J151" s="6"/>
    </row>
    <row r="152" spans="10:10" ht="15.75" customHeight="1" x14ac:dyDescent="0.2">
      <c r="J152" s="6"/>
    </row>
    <row r="153" spans="10:10" ht="15.75" customHeight="1" x14ac:dyDescent="0.2">
      <c r="J153" s="6"/>
    </row>
    <row r="154" spans="10:10" ht="15.75" customHeight="1" x14ac:dyDescent="0.2">
      <c r="J154" s="6"/>
    </row>
    <row r="155" spans="10:10" ht="15.75" customHeight="1" x14ac:dyDescent="0.2">
      <c r="J155" s="6"/>
    </row>
    <row r="156" spans="10:10" ht="15.75" customHeight="1" x14ac:dyDescent="0.2">
      <c r="J156" s="6"/>
    </row>
    <row r="157" spans="10:10" ht="15.75" customHeight="1" x14ac:dyDescent="0.2">
      <c r="J157" s="6"/>
    </row>
    <row r="158" spans="10:10" ht="15.75" customHeight="1" x14ac:dyDescent="0.2">
      <c r="J158" s="6"/>
    </row>
    <row r="159" spans="10:10" ht="15.75" customHeight="1" x14ac:dyDescent="0.2">
      <c r="J159" s="6"/>
    </row>
    <row r="160" spans="10:10" ht="15.75" customHeight="1" x14ac:dyDescent="0.2">
      <c r="J160" s="6"/>
    </row>
    <row r="161" spans="10:10" ht="15.75" customHeight="1" x14ac:dyDescent="0.2">
      <c r="J161" s="6"/>
    </row>
    <row r="162" spans="10:10" ht="15.75" customHeight="1" x14ac:dyDescent="0.2">
      <c r="J162" s="6"/>
    </row>
    <row r="163" spans="10:10" ht="15.75" customHeight="1" x14ac:dyDescent="0.2">
      <c r="J163" s="6"/>
    </row>
    <row r="164" spans="10:10" ht="15.75" customHeight="1" x14ac:dyDescent="0.2">
      <c r="J164" s="6"/>
    </row>
    <row r="165" spans="10:10" ht="15.75" customHeight="1" x14ac:dyDescent="0.2">
      <c r="J165" s="6"/>
    </row>
    <row r="166" spans="10:10" ht="15.75" customHeight="1" x14ac:dyDescent="0.2">
      <c r="J166" s="6"/>
    </row>
    <row r="167" spans="10:10" ht="15.75" customHeight="1" x14ac:dyDescent="0.2">
      <c r="J167" s="6"/>
    </row>
    <row r="168" spans="10:10" ht="15.75" customHeight="1" x14ac:dyDescent="0.2">
      <c r="J168" s="6"/>
    </row>
    <row r="169" spans="10:10" ht="15.75" customHeight="1" x14ac:dyDescent="0.2">
      <c r="J169" s="6"/>
    </row>
    <row r="170" spans="10:10" ht="15.75" customHeight="1" x14ac:dyDescent="0.2">
      <c r="J170" s="6"/>
    </row>
    <row r="171" spans="10:10" ht="15.75" customHeight="1" x14ac:dyDescent="0.2">
      <c r="J171" s="6"/>
    </row>
    <row r="172" spans="10:10" ht="15.75" customHeight="1" x14ac:dyDescent="0.2">
      <c r="J172" s="6"/>
    </row>
    <row r="173" spans="10:10" ht="15.75" customHeight="1" x14ac:dyDescent="0.2">
      <c r="J173" s="6"/>
    </row>
    <row r="174" spans="10:10" ht="15.75" customHeight="1" x14ac:dyDescent="0.2">
      <c r="J174" s="6"/>
    </row>
    <row r="175" spans="10:10" ht="15.75" customHeight="1" x14ac:dyDescent="0.2">
      <c r="J175" s="6"/>
    </row>
    <row r="176" spans="10:10" ht="15.75" customHeight="1" x14ac:dyDescent="0.2">
      <c r="J176" s="6"/>
    </row>
    <row r="177" spans="10:10" ht="15.75" customHeight="1" x14ac:dyDescent="0.2">
      <c r="J177" s="6"/>
    </row>
    <row r="178" spans="10:10" ht="15.75" customHeight="1" x14ac:dyDescent="0.2">
      <c r="J178" s="6"/>
    </row>
    <row r="179" spans="10:10" ht="15.75" customHeight="1" x14ac:dyDescent="0.2">
      <c r="J179" s="6"/>
    </row>
    <row r="180" spans="10:10" ht="15.75" customHeight="1" x14ac:dyDescent="0.2">
      <c r="J180" s="6"/>
    </row>
    <row r="181" spans="10:10" ht="15.75" customHeight="1" x14ac:dyDescent="0.2">
      <c r="J181" s="6"/>
    </row>
    <row r="182" spans="10:10" ht="15.75" customHeight="1" x14ac:dyDescent="0.2">
      <c r="J182" s="6"/>
    </row>
    <row r="183" spans="10:10" ht="15.75" customHeight="1" x14ac:dyDescent="0.2">
      <c r="J183" s="6"/>
    </row>
    <row r="184" spans="10:10" ht="15.75" customHeight="1" x14ac:dyDescent="0.2">
      <c r="J184" s="6"/>
    </row>
    <row r="185" spans="10:10" ht="15.75" customHeight="1" x14ac:dyDescent="0.2">
      <c r="J185" s="6"/>
    </row>
    <row r="186" spans="10:10" ht="15.75" customHeight="1" x14ac:dyDescent="0.2">
      <c r="J186" s="6"/>
    </row>
    <row r="187" spans="10:10" ht="15.75" customHeight="1" x14ac:dyDescent="0.2">
      <c r="J187" s="6"/>
    </row>
    <row r="188" spans="10:10" ht="15.75" customHeight="1" x14ac:dyDescent="0.2">
      <c r="J188" s="6"/>
    </row>
    <row r="189" spans="10:10" ht="15.75" customHeight="1" x14ac:dyDescent="0.2">
      <c r="J189" s="6"/>
    </row>
    <row r="190" spans="10:10" ht="15.75" customHeight="1" x14ac:dyDescent="0.2">
      <c r="J190" s="6"/>
    </row>
    <row r="191" spans="10:10" ht="15.75" customHeight="1" x14ac:dyDescent="0.2">
      <c r="J191" s="6"/>
    </row>
    <row r="192" spans="10:10" ht="15.75" customHeight="1" x14ac:dyDescent="0.2">
      <c r="J192" s="6"/>
    </row>
    <row r="193" spans="10:10" ht="15.75" customHeight="1" x14ac:dyDescent="0.2">
      <c r="J193" s="6"/>
    </row>
    <row r="194" spans="10:10" ht="15.75" customHeight="1" x14ac:dyDescent="0.2">
      <c r="J194" s="6"/>
    </row>
    <row r="195" spans="10:10" ht="15.75" customHeight="1" x14ac:dyDescent="0.2">
      <c r="J195" s="6"/>
    </row>
    <row r="196" spans="10:10" ht="15.75" customHeight="1" x14ac:dyDescent="0.2">
      <c r="J196" s="6"/>
    </row>
    <row r="197" spans="10:10" ht="15.75" customHeight="1" x14ac:dyDescent="0.2">
      <c r="J197" s="6"/>
    </row>
    <row r="198" spans="10:10" ht="15.75" customHeight="1" x14ac:dyDescent="0.2">
      <c r="J198" s="6"/>
    </row>
    <row r="199" spans="10:10" ht="15.75" customHeight="1" x14ac:dyDescent="0.2">
      <c r="J199" s="6"/>
    </row>
    <row r="200" spans="10:10" ht="15.75" customHeight="1" x14ac:dyDescent="0.2">
      <c r="J200" s="6"/>
    </row>
    <row r="201" spans="10:10" ht="15.75" customHeight="1" x14ac:dyDescent="0.2">
      <c r="J201" s="6"/>
    </row>
    <row r="202" spans="10:10" ht="15.75" customHeight="1" x14ac:dyDescent="0.2">
      <c r="J202" s="6"/>
    </row>
    <row r="203" spans="10:10" ht="15.75" customHeight="1" x14ac:dyDescent="0.2">
      <c r="J203" s="6"/>
    </row>
    <row r="204" spans="10:10" ht="15.75" customHeight="1" x14ac:dyDescent="0.2">
      <c r="J204" s="6"/>
    </row>
    <row r="205" spans="10:10" ht="15.75" customHeight="1" x14ac:dyDescent="0.2">
      <c r="J205" s="6"/>
    </row>
    <row r="206" spans="10:10" ht="15.75" customHeight="1" x14ac:dyDescent="0.2">
      <c r="J206" s="6"/>
    </row>
    <row r="207" spans="10:10" ht="15.75" customHeight="1" x14ac:dyDescent="0.2">
      <c r="J207" s="6"/>
    </row>
    <row r="208" spans="10:10" ht="15.75" customHeight="1" x14ac:dyDescent="0.2">
      <c r="J208" s="6"/>
    </row>
    <row r="209" spans="10:10" ht="15.75" customHeight="1" x14ac:dyDescent="0.2">
      <c r="J209" s="6"/>
    </row>
    <row r="210" spans="10:10" ht="15.75" customHeight="1" x14ac:dyDescent="0.2">
      <c r="J210" s="6"/>
    </row>
    <row r="211" spans="10:10" ht="15.75" customHeight="1" x14ac:dyDescent="0.2">
      <c r="J211" s="6"/>
    </row>
    <row r="212" spans="10:10" ht="15.75" customHeight="1" x14ac:dyDescent="0.2">
      <c r="J212" s="6"/>
    </row>
    <row r="213" spans="10:10" ht="15.75" customHeight="1" x14ac:dyDescent="0.2">
      <c r="J213" s="6"/>
    </row>
    <row r="214" spans="10:10" ht="15.75" customHeight="1" x14ac:dyDescent="0.2">
      <c r="J214" s="6"/>
    </row>
    <row r="215" spans="10:10" ht="15.75" customHeight="1" x14ac:dyDescent="0.2">
      <c r="J215" s="6"/>
    </row>
    <row r="216" spans="10:10" ht="15.75" customHeight="1" x14ac:dyDescent="0.2">
      <c r="J216" s="6"/>
    </row>
    <row r="217" spans="10:10" ht="15.75" customHeight="1" x14ac:dyDescent="0.2">
      <c r="J217" s="6"/>
    </row>
    <row r="218" spans="10:10" ht="15.75" customHeight="1" x14ac:dyDescent="0.2">
      <c r="J218" s="6"/>
    </row>
    <row r="219" spans="10:10" ht="15.75" customHeight="1" x14ac:dyDescent="0.2">
      <c r="J219" s="6"/>
    </row>
    <row r="220" spans="10:10" ht="15.75" customHeight="1" x14ac:dyDescent="0.2">
      <c r="J220" s="6"/>
    </row>
    <row r="221" spans="10:10" ht="15.75" customHeight="1" x14ac:dyDescent="0.2">
      <c r="J221" s="6"/>
    </row>
    <row r="222" spans="10:10" ht="15.75" customHeight="1" x14ac:dyDescent="0.2">
      <c r="J222" s="6"/>
    </row>
    <row r="223" spans="10:10" ht="15.75" customHeight="1" x14ac:dyDescent="0.2">
      <c r="J223" s="6"/>
    </row>
    <row r="224" spans="10:10" ht="15.75" customHeight="1" x14ac:dyDescent="0.2">
      <c r="J224" s="6"/>
    </row>
    <row r="225" spans="10:10" ht="15.75" customHeight="1" x14ac:dyDescent="0.2">
      <c r="J225" s="6"/>
    </row>
    <row r="226" spans="10:10" ht="15.75" customHeight="1" x14ac:dyDescent="0.2">
      <c r="J226" s="6"/>
    </row>
    <row r="227" spans="10:10" ht="15.75" customHeight="1" x14ac:dyDescent="0.2">
      <c r="J227" s="6"/>
    </row>
    <row r="228" spans="10:10" ht="15.75" customHeight="1" x14ac:dyDescent="0.2">
      <c r="J228" s="6"/>
    </row>
    <row r="229" spans="10:10" ht="15.75" customHeight="1" x14ac:dyDescent="0.2">
      <c r="J229" s="6"/>
    </row>
    <row r="230" spans="10:10" ht="15.75" customHeight="1" x14ac:dyDescent="0.2">
      <c r="J230" s="6"/>
    </row>
    <row r="231" spans="10:10" ht="15.75" customHeight="1" x14ac:dyDescent="0.2">
      <c r="J231" s="6"/>
    </row>
    <row r="232" spans="10:10" ht="15.75" customHeight="1" x14ac:dyDescent="0.2">
      <c r="J232" s="6"/>
    </row>
    <row r="233" spans="10:10" ht="15.75" customHeight="1" x14ac:dyDescent="0.2">
      <c r="J233" s="6"/>
    </row>
    <row r="234" spans="10:10" ht="15.75" customHeight="1" x14ac:dyDescent="0.2">
      <c r="J234" s="6"/>
    </row>
    <row r="235" spans="10:10" ht="15.75" customHeight="1" x14ac:dyDescent="0.2">
      <c r="J235" s="6"/>
    </row>
    <row r="236" spans="10:10" ht="15.75" customHeight="1" x14ac:dyDescent="0.2">
      <c r="J236" s="6"/>
    </row>
    <row r="237" spans="10:10" ht="15.75" customHeight="1" x14ac:dyDescent="0.2">
      <c r="J237" s="6"/>
    </row>
    <row r="238" spans="10:10" ht="15.75" customHeight="1" x14ac:dyDescent="0.2">
      <c r="J238" s="6"/>
    </row>
    <row r="239" spans="10:10" ht="15.75" customHeight="1" x14ac:dyDescent="0.2">
      <c r="J239" s="6"/>
    </row>
    <row r="240" spans="10:10" ht="15.75" customHeight="1" x14ac:dyDescent="0.2">
      <c r="J240" s="6"/>
    </row>
    <row r="241" spans="10:10" ht="15.75" customHeight="1" x14ac:dyDescent="0.2">
      <c r="J241" s="6"/>
    </row>
    <row r="242" spans="10:10" ht="15.75" customHeight="1" x14ac:dyDescent="0.2">
      <c r="J242" s="6"/>
    </row>
    <row r="243" spans="10:10" ht="15.75" customHeight="1" x14ac:dyDescent="0.2">
      <c r="J243" s="6"/>
    </row>
    <row r="244" spans="10:10" ht="15.75" customHeight="1" x14ac:dyDescent="0.2">
      <c r="J244" s="6"/>
    </row>
    <row r="245" spans="10:10" ht="15.75" customHeight="1" x14ac:dyDescent="0.2">
      <c r="J245" s="6"/>
    </row>
    <row r="246" spans="10:10" ht="15.75" customHeight="1" x14ac:dyDescent="0.2">
      <c r="J246" s="6"/>
    </row>
    <row r="247" spans="10:10" ht="15.75" customHeight="1" x14ac:dyDescent="0.2">
      <c r="J247" s="6"/>
    </row>
    <row r="248" spans="10:10" ht="15.75" customHeight="1" x14ac:dyDescent="0.2">
      <c r="J248" s="6"/>
    </row>
    <row r="249" spans="10:10" ht="15.75" customHeight="1" x14ac:dyDescent="0.2">
      <c r="J249" s="6"/>
    </row>
    <row r="250" spans="10:10" ht="15.75" customHeight="1" x14ac:dyDescent="0.2">
      <c r="J250" s="6"/>
    </row>
    <row r="251" spans="10:10" ht="15.75" customHeight="1" x14ac:dyDescent="0.2">
      <c r="J251" s="6"/>
    </row>
    <row r="252" spans="10:10" ht="15.75" customHeight="1" x14ac:dyDescent="0.2">
      <c r="J252" s="6"/>
    </row>
    <row r="253" spans="10:10" ht="15.75" customHeight="1" x14ac:dyDescent="0.2">
      <c r="J253" s="6"/>
    </row>
    <row r="254" spans="10:10" ht="15.75" customHeight="1" x14ac:dyDescent="0.2">
      <c r="J254" s="6"/>
    </row>
    <row r="255" spans="10:10" ht="15.75" customHeight="1" x14ac:dyDescent="0.2">
      <c r="J255" s="6"/>
    </row>
    <row r="256" spans="10:10" ht="15.75" customHeight="1" x14ac:dyDescent="0.2">
      <c r="J256" s="6"/>
    </row>
    <row r="257" spans="10:10" ht="15.75" customHeight="1" x14ac:dyDescent="0.2">
      <c r="J257" s="6"/>
    </row>
    <row r="258" spans="10:10" ht="15.75" customHeight="1" x14ac:dyDescent="0.2">
      <c r="J258" s="6"/>
    </row>
    <row r="259" spans="10:10" ht="15.75" customHeight="1" x14ac:dyDescent="0.2">
      <c r="J259" s="6"/>
    </row>
    <row r="260" spans="10:10" ht="15.75" customHeight="1" x14ac:dyDescent="0.2">
      <c r="J260" s="6"/>
    </row>
    <row r="261" spans="10:10" ht="15.75" customHeight="1" x14ac:dyDescent="0.2">
      <c r="J261" s="6"/>
    </row>
    <row r="262" spans="10:10" ht="15.75" customHeight="1" x14ac:dyDescent="0.2">
      <c r="J262" s="6"/>
    </row>
    <row r="263" spans="10:10" ht="15.75" customHeight="1" x14ac:dyDescent="0.2">
      <c r="J263" s="6"/>
    </row>
    <row r="264" spans="10:10" ht="15.75" customHeight="1" x14ac:dyDescent="0.2">
      <c r="J264" s="6"/>
    </row>
    <row r="265" spans="10:10" ht="15.75" customHeight="1" x14ac:dyDescent="0.2">
      <c r="J265" s="6"/>
    </row>
    <row r="266" spans="10:10" ht="15.75" customHeight="1" x14ac:dyDescent="0.2">
      <c r="J266" s="6"/>
    </row>
    <row r="267" spans="10:10" ht="15.75" customHeight="1" x14ac:dyDescent="0.2">
      <c r="J267" s="6"/>
    </row>
    <row r="268" spans="10:10" ht="15.75" customHeight="1" x14ac:dyDescent="0.2">
      <c r="J268" s="6"/>
    </row>
    <row r="269" spans="10:10" ht="15.75" customHeight="1" x14ac:dyDescent="0.2">
      <c r="J269" s="6"/>
    </row>
    <row r="270" spans="10:10" ht="15.75" customHeight="1" x14ac:dyDescent="0.2">
      <c r="J270" s="6"/>
    </row>
    <row r="271" spans="10:10" ht="15.75" customHeight="1" x14ac:dyDescent="0.2">
      <c r="J271" s="6"/>
    </row>
    <row r="272" spans="10:10" ht="15.75" customHeight="1" x14ac:dyDescent="0.2">
      <c r="J272" s="6"/>
    </row>
    <row r="273" spans="10:10" ht="15.75" customHeight="1" x14ac:dyDescent="0.2">
      <c r="J273" s="6"/>
    </row>
    <row r="274" spans="10:10" ht="15.75" customHeight="1" x14ac:dyDescent="0.2">
      <c r="J274" s="6"/>
    </row>
    <row r="275" spans="10:10" ht="15.75" customHeight="1" x14ac:dyDescent="0.2">
      <c r="J275" s="6"/>
    </row>
    <row r="276" spans="10:10" ht="15.75" customHeight="1" x14ac:dyDescent="0.2">
      <c r="J276" s="6"/>
    </row>
    <row r="277" spans="10:10" ht="15.75" customHeight="1" x14ac:dyDescent="0.2">
      <c r="J277" s="6"/>
    </row>
    <row r="278" spans="10:10" ht="15.75" customHeight="1" x14ac:dyDescent="0.2">
      <c r="J278" s="6"/>
    </row>
    <row r="279" spans="10:10" ht="15.75" customHeight="1" x14ac:dyDescent="0.2">
      <c r="J279" s="6"/>
    </row>
    <row r="280" spans="10:10" ht="15.75" customHeight="1" x14ac:dyDescent="0.2">
      <c r="J280" s="6"/>
    </row>
    <row r="281" spans="10:10" ht="15.75" customHeight="1" x14ac:dyDescent="0.2">
      <c r="J281" s="6"/>
    </row>
    <row r="282" spans="10:10" ht="15.75" customHeight="1" x14ac:dyDescent="0.2">
      <c r="J282" s="6"/>
    </row>
    <row r="283" spans="10:10" ht="15.75" customHeight="1" x14ac:dyDescent="0.2">
      <c r="J283" s="6"/>
    </row>
    <row r="284" spans="10:10" ht="15.75" customHeight="1" x14ac:dyDescent="0.2">
      <c r="J284" s="6"/>
    </row>
    <row r="285" spans="10:10" ht="15.75" customHeight="1" x14ac:dyDescent="0.2">
      <c r="J285" s="6"/>
    </row>
    <row r="286" spans="10:10" ht="15.75" customHeight="1" x14ac:dyDescent="0.2">
      <c r="J286" s="6"/>
    </row>
    <row r="287" spans="10:10" ht="15.75" customHeight="1" x14ac:dyDescent="0.2">
      <c r="J287" s="6"/>
    </row>
    <row r="288" spans="10:10" ht="15.75" customHeight="1" x14ac:dyDescent="0.2">
      <c r="J288" s="6"/>
    </row>
    <row r="289" spans="10:10" ht="15.75" customHeight="1" x14ac:dyDescent="0.2">
      <c r="J289" s="6"/>
    </row>
    <row r="290" spans="10:10" ht="15.75" customHeight="1" x14ac:dyDescent="0.2">
      <c r="J290" s="6"/>
    </row>
    <row r="291" spans="10:10" ht="15.75" customHeight="1" x14ac:dyDescent="0.2">
      <c r="J291" s="6"/>
    </row>
    <row r="292" spans="10:10" ht="15.75" customHeight="1" x14ac:dyDescent="0.2">
      <c r="J292" s="6"/>
    </row>
    <row r="293" spans="10:10" ht="15.75" customHeight="1" x14ac:dyDescent="0.2">
      <c r="J293" s="6"/>
    </row>
    <row r="294" spans="10:10" ht="15.75" customHeight="1" x14ac:dyDescent="0.2">
      <c r="J294" s="6"/>
    </row>
    <row r="295" spans="10:10" ht="15.75" customHeight="1" x14ac:dyDescent="0.2">
      <c r="J295" s="6"/>
    </row>
    <row r="296" spans="10:10" ht="15.75" customHeight="1" x14ac:dyDescent="0.2">
      <c r="J296" s="6"/>
    </row>
    <row r="297" spans="10:10" ht="15.75" customHeight="1" x14ac:dyDescent="0.2">
      <c r="J297" s="6"/>
    </row>
    <row r="298" spans="10:10" ht="15.75" customHeight="1" x14ac:dyDescent="0.2">
      <c r="J298" s="6"/>
    </row>
    <row r="299" spans="10:10" ht="15.75" customHeight="1" x14ac:dyDescent="0.2">
      <c r="J299" s="6"/>
    </row>
    <row r="300" spans="10:10" ht="15.75" customHeight="1" x14ac:dyDescent="0.2">
      <c r="J300" s="6"/>
    </row>
    <row r="301" spans="10:10" ht="15.75" customHeight="1" x14ac:dyDescent="0.2">
      <c r="J301" s="6"/>
    </row>
    <row r="302" spans="10:10" ht="15.75" customHeight="1" x14ac:dyDescent="0.2">
      <c r="J302" s="6"/>
    </row>
    <row r="303" spans="10:10" ht="15.75" customHeight="1" x14ac:dyDescent="0.2">
      <c r="J303" s="6"/>
    </row>
    <row r="304" spans="10:10" ht="15.75" customHeight="1" x14ac:dyDescent="0.2">
      <c r="J304" s="6"/>
    </row>
    <row r="305" spans="10:10" ht="15.75" customHeight="1" x14ac:dyDescent="0.2">
      <c r="J305" s="6"/>
    </row>
    <row r="306" spans="10:10" ht="15.75" customHeight="1" x14ac:dyDescent="0.2">
      <c r="J306" s="6"/>
    </row>
    <row r="307" spans="10:10" ht="15.75" customHeight="1" x14ac:dyDescent="0.2">
      <c r="J307" s="6"/>
    </row>
    <row r="308" spans="10:10" ht="15.75" customHeight="1" x14ac:dyDescent="0.2">
      <c r="J308" s="6"/>
    </row>
    <row r="309" spans="10:10" ht="15.75" customHeight="1" x14ac:dyDescent="0.2">
      <c r="J309" s="6"/>
    </row>
    <row r="310" spans="10:10" ht="15.75" customHeight="1" x14ac:dyDescent="0.2">
      <c r="J310" s="6"/>
    </row>
    <row r="311" spans="10:10" ht="15.75" customHeight="1" x14ac:dyDescent="0.2">
      <c r="J311" s="6"/>
    </row>
    <row r="312" spans="10:10" ht="15.75" customHeight="1" x14ac:dyDescent="0.2">
      <c r="J312" s="6"/>
    </row>
    <row r="313" spans="10:10" ht="15.75" customHeight="1" x14ac:dyDescent="0.2">
      <c r="J313" s="6"/>
    </row>
    <row r="314" spans="10:10" ht="15.75" customHeight="1" x14ac:dyDescent="0.2">
      <c r="J314" s="6"/>
    </row>
    <row r="315" spans="10:10" ht="15.75" customHeight="1" x14ac:dyDescent="0.2">
      <c r="J315" s="6"/>
    </row>
    <row r="316" spans="10:10" ht="15.75" customHeight="1" x14ac:dyDescent="0.2">
      <c r="J316" s="6"/>
    </row>
    <row r="317" spans="10:10" ht="15.75" customHeight="1" x14ac:dyDescent="0.2">
      <c r="J317" s="6"/>
    </row>
    <row r="318" spans="10:10" ht="15.75" customHeight="1" x14ac:dyDescent="0.2">
      <c r="J318" s="6"/>
    </row>
    <row r="319" spans="10:10" ht="15.75" customHeight="1" x14ac:dyDescent="0.2">
      <c r="J319" s="6"/>
    </row>
    <row r="320" spans="10:10" ht="15.75" customHeight="1" x14ac:dyDescent="0.2">
      <c r="J320" s="6"/>
    </row>
    <row r="321" spans="10:10" ht="15.75" customHeight="1" x14ac:dyDescent="0.2">
      <c r="J321" s="6"/>
    </row>
    <row r="322" spans="10:10" ht="15.75" customHeight="1" x14ac:dyDescent="0.2">
      <c r="J322" s="6"/>
    </row>
    <row r="323" spans="10:10" ht="15.75" customHeight="1" x14ac:dyDescent="0.2">
      <c r="J323" s="6"/>
    </row>
    <row r="324" spans="10:10" ht="15.75" customHeight="1" x14ac:dyDescent="0.2">
      <c r="J324" s="6"/>
    </row>
    <row r="325" spans="10:10" ht="15.75" customHeight="1" x14ac:dyDescent="0.2">
      <c r="J325" s="6"/>
    </row>
    <row r="326" spans="10:10" ht="15.75" customHeight="1" x14ac:dyDescent="0.2">
      <c r="J326" s="6"/>
    </row>
    <row r="327" spans="10:10" ht="15.75" customHeight="1" x14ac:dyDescent="0.2">
      <c r="J327" s="6"/>
    </row>
    <row r="328" spans="10:10" ht="15.75" customHeight="1" x14ac:dyDescent="0.2">
      <c r="J328" s="6"/>
    </row>
    <row r="329" spans="10:10" ht="15.75" customHeight="1" x14ac:dyDescent="0.2">
      <c r="J329" s="6"/>
    </row>
    <row r="330" spans="10:10" ht="15.75" customHeight="1" x14ac:dyDescent="0.2">
      <c r="J330" s="6"/>
    </row>
    <row r="331" spans="10:10" ht="15.75" customHeight="1" x14ac:dyDescent="0.2">
      <c r="J331" s="6"/>
    </row>
    <row r="332" spans="10:10" ht="15.75" customHeight="1" x14ac:dyDescent="0.2">
      <c r="J332" s="6"/>
    </row>
    <row r="333" spans="10:10" ht="15.75" customHeight="1" x14ac:dyDescent="0.2">
      <c r="J333" s="6"/>
    </row>
    <row r="334" spans="10:10" ht="15.75" customHeight="1" x14ac:dyDescent="0.2">
      <c r="J334" s="6"/>
    </row>
    <row r="335" spans="10:10" ht="15.75" customHeight="1" x14ac:dyDescent="0.2">
      <c r="J335" s="6"/>
    </row>
    <row r="336" spans="10:10" ht="15.75" customHeight="1" x14ac:dyDescent="0.2">
      <c r="J336" s="6"/>
    </row>
    <row r="337" spans="10:10" ht="15.75" customHeight="1" x14ac:dyDescent="0.2">
      <c r="J337" s="6"/>
    </row>
    <row r="338" spans="10:10" ht="15.75" customHeight="1" x14ac:dyDescent="0.2">
      <c r="J338" s="6"/>
    </row>
    <row r="339" spans="10:10" ht="15.75" customHeight="1" x14ac:dyDescent="0.2">
      <c r="J339" s="6"/>
    </row>
    <row r="340" spans="10:10" ht="15.75" customHeight="1" x14ac:dyDescent="0.2">
      <c r="J340" s="6"/>
    </row>
    <row r="341" spans="10:10" ht="15.75" customHeight="1" x14ac:dyDescent="0.2">
      <c r="J341" s="6"/>
    </row>
    <row r="342" spans="10:10" ht="15.75" customHeight="1" x14ac:dyDescent="0.2">
      <c r="J342" s="6"/>
    </row>
    <row r="343" spans="10:10" ht="15.75" customHeight="1" x14ac:dyDescent="0.2">
      <c r="J343" s="6"/>
    </row>
    <row r="344" spans="10:10" ht="15.75" customHeight="1" x14ac:dyDescent="0.2">
      <c r="J344" s="6"/>
    </row>
    <row r="345" spans="10:10" ht="15.75" customHeight="1" x14ac:dyDescent="0.2">
      <c r="J345" s="6"/>
    </row>
    <row r="346" spans="10:10" ht="15.75" customHeight="1" x14ac:dyDescent="0.2">
      <c r="J346" s="6"/>
    </row>
    <row r="347" spans="10:10" ht="15.75" customHeight="1" x14ac:dyDescent="0.2">
      <c r="J347" s="6"/>
    </row>
    <row r="348" spans="10:10" ht="15.75" customHeight="1" x14ac:dyDescent="0.2">
      <c r="J348" s="6"/>
    </row>
    <row r="349" spans="10:10" ht="15.75" customHeight="1" x14ac:dyDescent="0.2">
      <c r="J349" s="6"/>
    </row>
    <row r="350" spans="10:10" ht="15.75" customHeight="1" x14ac:dyDescent="0.2">
      <c r="J350" s="6"/>
    </row>
    <row r="351" spans="10:10" ht="15.75" customHeight="1" x14ac:dyDescent="0.2">
      <c r="J351" s="6"/>
    </row>
    <row r="352" spans="10:10" ht="15.75" customHeight="1" x14ac:dyDescent="0.2">
      <c r="J352" s="6"/>
    </row>
    <row r="353" spans="10:10" ht="15.75" customHeight="1" x14ac:dyDescent="0.2">
      <c r="J353" s="6"/>
    </row>
    <row r="354" spans="10:10" ht="15.75" customHeight="1" x14ac:dyDescent="0.2">
      <c r="J354" s="6"/>
    </row>
    <row r="355" spans="10:10" ht="15.75" customHeight="1" x14ac:dyDescent="0.2">
      <c r="J355" s="6"/>
    </row>
    <row r="356" spans="10:10" ht="15.75" customHeight="1" x14ac:dyDescent="0.2">
      <c r="J356" s="6"/>
    </row>
    <row r="357" spans="10:10" ht="15.75" customHeight="1" x14ac:dyDescent="0.2">
      <c r="J357" s="6"/>
    </row>
    <row r="358" spans="10:10" ht="15.75" customHeight="1" x14ac:dyDescent="0.2">
      <c r="J358" s="6"/>
    </row>
    <row r="359" spans="10:10" ht="15.75" customHeight="1" x14ac:dyDescent="0.2">
      <c r="J359" s="6"/>
    </row>
    <row r="360" spans="10:10" ht="15.75" customHeight="1" x14ac:dyDescent="0.2">
      <c r="J360" s="6"/>
    </row>
    <row r="361" spans="10:10" ht="15.75" customHeight="1" x14ac:dyDescent="0.2">
      <c r="J361" s="6"/>
    </row>
    <row r="362" spans="10:10" ht="15.75" customHeight="1" x14ac:dyDescent="0.2">
      <c r="J362" s="6"/>
    </row>
    <row r="363" spans="10:10" ht="15.75" customHeight="1" x14ac:dyDescent="0.2">
      <c r="J363" s="6"/>
    </row>
    <row r="364" spans="10:10" ht="15.75" customHeight="1" x14ac:dyDescent="0.2">
      <c r="J364" s="6"/>
    </row>
    <row r="365" spans="10:10" ht="15.75" customHeight="1" x14ac:dyDescent="0.2">
      <c r="J365" s="6"/>
    </row>
    <row r="366" spans="10:10" ht="15.75" customHeight="1" x14ac:dyDescent="0.2">
      <c r="J366" s="6"/>
    </row>
    <row r="367" spans="10:10" ht="15.75" customHeight="1" x14ac:dyDescent="0.2">
      <c r="J367" s="6"/>
    </row>
    <row r="368" spans="10:10" ht="15.75" customHeight="1" x14ac:dyDescent="0.2">
      <c r="J368" s="6"/>
    </row>
    <row r="369" spans="10:10" ht="15.75" customHeight="1" x14ac:dyDescent="0.2">
      <c r="J369" s="6"/>
    </row>
    <row r="370" spans="10:10" ht="15.75" customHeight="1" x14ac:dyDescent="0.2">
      <c r="J370" s="6"/>
    </row>
    <row r="371" spans="10:10" ht="15.75" customHeight="1" x14ac:dyDescent="0.2">
      <c r="J371" s="6"/>
    </row>
    <row r="372" spans="10:10" ht="15.75" customHeight="1" x14ac:dyDescent="0.2">
      <c r="J372" s="6"/>
    </row>
    <row r="373" spans="10:10" ht="15.75" customHeight="1" x14ac:dyDescent="0.2">
      <c r="J373" s="6"/>
    </row>
    <row r="374" spans="10:10" ht="15.75" customHeight="1" x14ac:dyDescent="0.2">
      <c r="J374" s="6"/>
    </row>
    <row r="375" spans="10:10" ht="15.75" customHeight="1" x14ac:dyDescent="0.2">
      <c r="J375" s="6"/>
    </row>
    <row r="376" spans="10:10" ht="15.75" customHeight="1" x14ac:dyDescent="0.2">
      <c r="J376" s="6"/>
    </row>
    <row r="377" spans="10:10" ht="15.75" customHeight="1" x14ac:dyDescent="0.2">
      <c r="J377" s="6"/>
    </row>
    <row r="378" spans="10:10" ht="15.75" customHeight="1" x14ac:dyDescent="0.2">
      <c r="J378" s="6"/>
    </row>
    <row r="379" spans="10:10" ht="15.75" customHeight="1" x14ac:dyDescent="0.2">
      <c r="J379" s="6"/>
    </row>
    <row r="380" spans="10:10" ht="15.75" customHeight="1" x14ac:dyDescent="0.2">
      <c r="J380" s="6"/>
    </row>
    <row r="381" spans="10:10" ht="15.75" customHeight="1" x14ac:dyDescent="0.2">
      <c r="J381" s="6"/>
    </row>
    <row r="382" spans="10:10" ht="15.75" customHeight="1" x14ac:dyDescent="0.2">
      <c r="J382" s="6"/>
    </row>
    <row r="383" spans="10:10" ht="15.75" customHeight="1" x14ac:dyDescent="0.2">
      <c r="J383" s="6"/>
    </row>
    <row r="384" spans="10:10" ht="15.75" customHeight="1" x14ac:dyDescent="0.2">
      <c r="J384" s="6"/>
    </row>
    <row r="385" spans="10:10" ht="15.75" customHeight="1" x14ac:dyDescent="0.2">
      <c r="J385" s="6"/>
    </row>
    <row r="386" spans="10:10" ht="15.75" customHeight="1" x14ac:dyDescent="0.2">
      <c r="J386" s="6"/>
    </row>
    <row r="387" spans="10:10" ht="15.75" customHeight="1" x14ac:dyDescent="0.2">
      <c r="J387" s="6"/>
    </row>
    <row r="388" spans="10:10" ht="15.75" customHeight="1" x14ac:dyDescent="0.2">
      <c r="J388" s="6"/>
    </row>
    <row r="389" spans="10:10" ht="15.75" customHeight="1" x14ac:dyDescent="0.2">
      <c r="J389" s="6"/>
    </row>
    <row r="390" spans="10:10" ht="15.75" customHeight="1" x14ac:dyDescent="0.2">
      <c r="J390" s="6"/>
    </row>
    <row r="391" spans="10:10" ht="15.75" customHeight="1" x14ac:dyDescent="0.2">
      <c r="J391" s="6"/>
    </row>
    <row r="392" spans="10:10" ht="15.75" customHeight="1" x14ac:dyDescent="0.2">
      <c r="J392" s="6"/>
    </row>
    <row r="393" spans="10:10" ht="15.75" customHeight="1" x14ac:dyDescent="0.2">
      <c r="J393" s="6"/>
    </row>
    <row r="394" spans="10:10" ht="15.75" customHeight="1" x14ac:dyDescent="0.2">
      <c r="J394" s="6"/>
    </row>
    <row r="395" spans="10:10" ht="15.75" customHeight="1" x14ac:dyDescent="0.2">
      <c r="J395" s="6"/>
    </row>
    <row r="396" spans="10:10" ht="15.75" customHeight="1" x14ac:dyDescent="0.2">
      <c r="J396" s="6"/>
    </row>
    <row r="397" spans="10:10" ht="15.75" customHeight="1" x14ac:dyDescent="0.2">
      <c r="J397" s="6"/>
    </row>
    <row r="398" spans="10:10" ht="15.75" customHeight="1" x14ac:dyDescent="0.2">
      <c r="J398" s="6"/>
    </row>
    <row r="399" spans="10:10" ht="15.75" customHeight="1" x14ac:dyDescent="0.2">
      <c r="J399" s="6"/>
    </row>
    <row r="400" spans="10:10" ht="15.75" customHeight="1" x14ac:dyDescent="0.2">
      <c r="J400" s="6"/>
    </row>
    <row r="401" spans="10:10" ht="15.75" customHeight="1" x14ac:dyDescent="0.2">
      <c r="J401" s="6"/>
    </row>
    <row r="402" spans="10:10" ht="15.75" customHeight="1" x14ac:dyDescent="0.2">
      <c r="J402" s="6"/>
    </row>
    <row r="403" spans="10:10" ht="15.75" customHeight="1" x14ac:dyDescent="0.2">
      <c r="J403" s="6"/>
    </row>
    <row r="404" spans="10:10" ht="15.75" customHeight="1" x14ac:dyDescent="0.2">
      <c r="J404" s="6"/>
    </row>
    <row r="405" spans="10:10" ht="15.75" customHeight="1" x14ac:dyDescent="0.2">
      <c r="J405" s="6"/>
    </row>
    <row r="406" spans="10:10" ht="15.75" customHeight="1" x14ac:dyDescent="0.2">
      <c r="J406" s="6"/>
    </row>
    <row r="407" spans="10:10" ht="15.75" customHeight="1" x14ac:dyDescent="0.2">
      <c r="J407" s="6"/>
    </row>
    <row r="408" spans="10:10" ht="15.75" customHeight="1" x14ac:dyDescent="0.2">
      <c r="J408" s="6"/>
    </row>
    <row r="409" spans="10:10" ht="15.75" customHeight="1" x14ac:dyDescent="0.2">
      <c r="J409" s="6"/>
    </row>
    <row r="410" spans="10:10" ht="15.75" customHeight="1" x14ac:dyDescent="0.2">
      <c r="J410" s="6"/>
    </row>
    <row r="411" spans="10:10" ht="15.75" customHeight="1" x14ac:dyDescent="0.2">
      <c r="J411" s="6"/>
    </row>
    <row r="412" spans="10:10" ht="15.75" customHeight="1" x14ac:dyDescent="0.2">
      <c r="J412" s="6"/>
    </row>
    <row r="413" spans="10:10" ht="15.75" customHeight="1" x14ac:dyDescent="0.2">
      <c r="J413" s="6"/>
    </row>
    <row r="414" spans="10:10" ht="15.75" customHeight="1" x14ac:dyDescent="0.2">
      <c r="J414" s="6"/>
    </row>
    <row r="415" spans="10:10" ht="15.75" customHeight="1" x14ac:dyDescent="0.2">
      <c r="J415" s="6"/>
    </row>
    <row r="416" spans="10:10" ht="15.75" customHeight="1" x14ac:dyDescent="0.2">
      <c r="J416" s="6"/>
    </row>
    <row r="417" spans="10:10" ht="15.75" customHeight="1" x14ac:dyDescent="0.2">
      <c r="J417" s="6"/>
    </row>
    <row r="418" spans="10:10" ht="15.75" customHeight="1" x14ac:dyDescent="0.2">
      <c r="J418" s="6"/>
    </row>
    <row r="419" spans="10:10" ht="15.75" customHeight="1" x14ac:dyDescent="0.2">
      <c r="J419" s="6"/>
    </row>
    <row r="420" spans="10:10" ht="15.75" customHeight="1" x14ac:dyDescent="0.2">
      <c r="J420" s="6"/>
    </row>
    <row r="421" spans="10:10" ht="15.75" customHeight="1" x14ac:dyDescent="0.2">
      <c r="J421" s="6"/>
    </row>
    <row r="422" spans="10:10" ht="15.75" customHeight="1" x14ac:dyDescent="0.2">
      <c r="J422" s="6"/>
    </row>
    <row r="423" spans="10:10" ht="15.75" customHeight="1" x14ac:dyDescent="0.2">
      <c r="J423" s="6"/>
    </row>
    <row r="424" spans="10:10" ht="15.75" customHeight="1" x14ac:dyDescent="0.2">
      <c r="J424" s="6"/>
    </row>
    <row r="425" spans="10:10" ht="15.75" customHeight="1" x14ac:dyDescent="0.2">
      <c r="J425" s="6"/>
    </row>
    <row r="426" spans="10:10" ht="15.75" customHeight="1" x14ac:dyDescent="0.2">
      <c r="J426" s="6"/>
    </row>
    <row r="427" spans="10:10" ht="15.75" customHeight="1" x14ac:dyDescent="0.2">
      <c r="J427" s="6"/>
    </row>
    <row r="428" spans="10:10" ht="15.75" customHeight="1" x14ac:dyDescent="0.2">
      <c r="J428" s="6"/>
    </row>
    <row r="429" spans="10:10" ht="15.75" customHeight="1" x14ac:dyDescent="0.2">
      <c r="J429" s="6"/>
    </row>
    <row r="430" spans="10:10" ht="15.75" customHeight="1" x14ac:dyDescent="0.2">
      <c r="J430" s="6"/>
    </row>
    <row r="431" spans="10:10" ht="15.75" customHeight="1" x14ac:dyDescent="0.2">
      <c r="J431" s="6"/>
    </row>
    <row r="432" spans="10:10" ht="15.75" customHeight="1" x14ac:dyDescent="0.2">
      <c r="J432" s="6"/>
    </row>
    <row r="433" spans="10:10" ht="15.75" customHeight="1" x14ac:dyDescent="0.2">
      <c r="J433" s="6"/>
    </row>
    <row r="434" spans="10:10" ht="15.75" customHeight="1" x14ac:dyDescent="0.2">
      <c r="J434" s="6"/>
    </row>
    <row r="435" spans="10:10" ht="15.75" customHeight="1" x14ac:dyDescent="0.2">
      <c r="J435" s="6"/>
    </row>
    <row r="436" spans="10:10" ht="15.75" customHeight="1" x14ac:dyDescent="0.2">
      <c r="J436" s="6"/>
    </row>
    <row r="437" spans="10:10" ht="15.75" customHeight="1" x14ac:dyDescent="0.2">
      <c r="J437" s="6"/>
    </row>
    <row r="438" spans="10:10" ht="15.75" customHeight="1" x14ac:dyDescent="0.2">
      <c r="J438" s="6"/>
    </row>
    <row r="439" spans="10:10" ht="15.75" customHeight="1" x14ac:dyDescent="0.2">
      <c r="J439" s="6"/>
    </row>
    <row r="440" spans="10:10" ht="15.75" customHeight="1" x14ac:dyDescent="0.2">
      <c r="J440" s="6"/>
    </row>
    <row r="441" spans="10:10" ht="15.75" customHeight="1" x14ac:dyDescent="0.2">
      <c r="J441" s="6"/>
    </row>
    <row r="442" spans="10:10" ht="15.75" customHeight="1" x14ac:dyDescent="0.2">
      <c r="J442" s="6"/>
    </row>
    <row r="443" spans="10:10" ht="15.75" customHeight="1" x14ac:dyDescent="0.2">
      <c r="J443" s="6"/>
    </row>
    <row r="444" spans="10:10" ht="15.75" customHeight="1" x14ac:dyDescent="0.2">
      <c r="J444" s="6"/>
    </row>
    <row r="445" spans="10:10" ht="15.75" customHeight="1" x14ac:dyDescent="0.2">
      <c r="J445" s="6"/>
    </row>
    <row r="446" spans="10:10" ht="15.75" customHeight="1" x14ac:dyDescent="0.2">
      <c r="J446" s="6"/>
    </row>
    <row r="447" spans="10:10" ht="15.75" customHeight="1" x14ac:dyDescent="0.2">
      <c r="J447" s="6"/>
    </row>
    <row r="448" spans="10:10" ht="15.75" customHeight="1" x14ac:dyDescent="0.2">
      <c r="J448" s="6"/>
    </row>
    <row r="449" spans="10:10" ht="15.75" customHeight="1" x14ac:dyDescent="0.2">
      <c r="J449" s="6"/>
    </row>
    <row r="450" spans="10:10" ht="15.75" customHeight="1" x14ac:dyDescent="0.2">
      <c r="J450" s="6"/>
    </row>
    <row r="451" spans="10:10" ht="15.75" customHeight="1" x14ac:dyDescent="0.2">
      <c r="J451" s="6"/>
    </row>
    <row r="452" spans="10:10" ht="15.75" customHeight="1" x14ac:dyDescent="0.2">
      <c r="J452" s="6"/>
    </row>
    <row r="453" spans="10:10" ht="15.75" customHeight="1" x14ac:dyDescent="0.2">
      <c r="J453" s="6"/>
    </row>
    <row r="454" spans="10:10" ht="15.75" customHeight="1" x14ac:dyDescent="0.2">
      <c r="J454" s="6"/>
    </row>
    <row r="455" spans="10:10" ht="15.75" customHeight="1" x14ac:dyDescent="0.2">
      <c r="J455" s="6"/>
    </row>
    <row r="456" spans="10:10" ht="15.75" customHeight="1" x14ac:dyDescent="0.2">
      <c r="J456" s="6"/>
    </row>
    <row r="457" spans="10:10" ht="15.75" customHeight="1" x14ac:dyDescent="0.2">
      <c r="J457" s="6"/>
    </row>
    <row r="458" spans="10:10" ht="15.75" customHeight="1" x14ac:dyDescent="0.2">
      <c r="J458" s="6"/>
    </row>
    <row r="459" spans="10:10" ht="15.75" customHeight="1" x14ac:dyDescent="0.2">
      <c r="J459" s="6"/>
    </row>
    <row r="460" spans="10:10" ht="15.75" customHeight="1" x14ac:dyDescent="0.2">
      <c r="J460" s="6"/>
    </row>
    <row r="461" spans="10:10" ht="15.75" customHeight="1" x14ac:dyDescent="0.2">
      <c r="J461" s="6"/>
    </row>
    <row r="462" spans="10:10" ht="15.75" customHeight="1" x14ac:dyDescent="0.2">
      <c r="J462" s="6"/>
    </row>
    <row r="463" spans="10:10" ht="15.75" customHeight="1" x14ac:dyDescent="0.2">
      <c r="J463" s="6"/>
    </row>
    <row r="464" spans="10:10" ht="15.75" customHeight="1" x14ac:dyDescent="0.2">
      <c r="J464" s="6"/>
    </row>
    <row r="465" spans="10:10" ht="15.75" customHeight="1" x14ac:dyDescent="0.2">
      <c r="J465" s="6"/>
    </row>
    <row r="466" spans="10:10" ht="15.75" customHeight="1" x14ac:dyDescent="0.2">
      <c r="J466" s="6"/>
    </row>
    <row r="467" spans="10:10" ht="15.75" customHeight="1" x14ac:dyDescent="0.2">
      <c r="J467" s="6"/>
    </row>
    <row r="468" spans="10:10" ht="15.75" customHeight="1" x14ac:dyDescent="0.2">
      <c r="J468" s="6"/>
    </row>
    <row r="469" spans="10:10" ht="15.75" customHeight="1" x14ac:dyDescent="0.2">
      <c r="J469" s="6"/>
    </row>
    <row r="470" spans="10:10" ht="15.75" customHeight="1" x14ac:dyDescent="0.2">
      <c r="J470" s="6"/>
    </row>
    <row r="471" spans="10:10" ht="15.75" customHeight="1" x14ac:dyDescent="0.2">
      <c r="J471" s="6"/>
    </row>
    <row r="472" spans="10:10" ht="15.75" customHeight="1" x14ac:dyDescent="0.2">
      <c r="J472" s="6"/>
    </row>
    <row r="473" spans="10:10" ht="15.75" customHeight="1" x14ac:dyDescent="0.2">
      <c r="J473" s="6"/>
    </row>
    <row r="474" spans="10:10" ht="15.75" customHeight="1" x14ac:dyDescent="0.2">
      <c r="J474" s="6"/>
    </row>
    <row r="475" spans="10:10" ht="15.75" customHeight="1" x14ac:dyDescent="0.2">
      <c r="J475" s="6"/>
    </row>
    <row r="476" spans="10:10" ht="15.75" customHeight="1" x14ac:dyDescent="0.2">
      <c r="J476" s="6"/>
    </row>
    <row r="477" spans="10:10" ht="15.75" customHeight="1" x14ac:dyDescent="0.2">
      <c r="J477" s="6"/>
    </row>
    <row r="478" spans="10:10" ht="15.75" customHeight="1" x14ac:dyDescent="0.2">
      <c r="J478" s="6"/>
    </row>
    <row r="479" spans="10:10" ht="15.75" customHeight="1" x14ac:dyDescent="0.2">
      <c r="J479" s="6"/>
    </row>
    <row r="480" spans="10:10" ht="15.75" customHeight="1" x14ac:dyDescent="0.2">
      <c r="J480" s="6"/>
    </row>
    <row r="481" spans="10:10" ht="15.75" customHeight="1" x14ac:dyDescent="0.2">
      <c r="J481" s="6"/>
    </row>
    <row r="482" spans="10:10" ht="15.75" customHeight="1" x14ac:dyDescent="0.2">
      <c r="J482" s="6"/>
    </row>
    <row r="483" spans="10:10" ht="15.75" customHeight="1" x14ac:dyDescent="0.2">
      <c r="J483" s="6"/>
    </row>
    <row r="484" spans="10:10" ht="15.75" customHeight="1" x14ac:dyDescent="0.2">
      <c r="J484" s="6"/>
    </row>
    <row r="485" spans="10:10" ht="15.75" customHeight="1" x14ac:dyDescent="0.2">
      <c r="J485" s="6"/>
    </row>
    <row r="486" spans="10:10" ht="15.75" customHeight="1" x14ac:dyDescent="0.2">
      <c r="J486" s="6"/>
    </row>
    <row r="487" spans="10:10" ht="15.75" customHeight="1" x14ac:dyDescent="0.2">
      <c r="J487" s="6"/>
    </row>
    <row r="488" spans="10:10" ht="15.75" customHeight="1" x14ac:dyDescent="0.2">
      <c r="J488" s="6"/>
    </row>
    <row r="489" spans="10:10" ht="15.75" customHeight="1" x14ac:dyDescent="0.2">
      <c r="J489" s="6"/>
    </row>
    <row r="490" spans="10:10" ht="15.75" customHeight="1" x14ac:dyDescent="0.2">
      <c r="J490" s="6"/>
    </row>
    <row r="491" spans="10:10" ht="15.75" customHeight="1" x14ac:dyDescent="0.2">
      <c r="J491" s="6"/>
    </row>
    <row r="492" spans="10:10" ht="15.75" customHeight="1" x14ac:dyDescent="0.2">
      <c r="J492" s="6"/>
    </row>
    <row r="493" spans="10:10" ht="15.75" customHeight="1" x14ac:dyDescent="0.2">
      <c r="J493" s="6"/>
    </row>
    <row r="494" spans="10:10" ht="15.75" customHeight="1" x14ac:dyDescent="0.2">
      <c r="J494" s="6"/>
    </row>
    <row r="495" spans="10:10" ht="15.75" customHeight="1" x14ac:dyDescent="0.2">
      <c r="J495" s="6"/>
    </row>
    <row r="496" spans="10:10" ht="15.75" customHeight="1" x14ac:dyDescent="0.2">
      <c r="J496" s="6"/>
    </row>
    <row r="497" spans="10:10" ht="15.75" customHeight="1" x14ac:dyDescent="0.2">
      <c r="J497" s="6"/>
    </row>
    <row r="498" spans="10:10" ht="15.75" customHeight="1" x14ac:dyDescent="0.2">
      <c r="J498" s="6"/>
    </row>
    <row r="499" spans="10:10" ht="15.75" customHeight="1" x14ac:dyDescent="0.2">
      <c r="J499" s="6"/>
    </row>
    <row r="500" spans="10:10" ht="15.75" customHeight="1" x14ac:dyDescent="0.2">
      <c r="J500" s="6"/>
    </row>
    <row r="501" spans="10:10" ht="15.75" customHeight="1" x14ac:dyDescent="0.2">
      <c r="J501" s="6"/>
    </row>
    <row r="502" spans="10:10" ht="15.75" customHeight="1" x14ac:dyDescent="0.2">
      <c r="J502" s="6"/>
    </row>
    <row r="503" spans="10:10" ht="15.75" customHeight="1" x14ac:dyDescent="0.2">
      <c r="J503" s="6"/>
    </row>
    <row r="504" spans="10:10" ht="15.75" customHeight="1" x14ac:dyDescent="0.2">
      <c r="J504" s="6"/>
    </row>
    <row r="505" spans="10:10" ht="15.75" customHeight="1" x14ac:dyDescent="0.2">
      <c r="J505" s="6"/>
    </row>
    <row r="506" spans="10:10" ht="15.75" customHeight="1" x14ac:dyDescent="0.2">
      <c r="J506" s="6"/>
    </row>
    <row r="507" spans="10:10" ht="15.75" customHeight="1" x14ac:dyDescent="0.2">
      <c r="J507" s="6"/>
    </row>
    <row r="508" spans="10:10" ht="15.75" customHeight="1" x14ac:dyDescent="0.2">
      <c r="J508" s="6"/>
    </row>
    <row r="509" spans="10:10" ht="15.75" customHeight="1" x14ac:dyDescent="0.2">
      <c r="J509" s="6"/>
    </row>
    <row r="510" spans="10:10" ht="15.75" customHeight="1" x14ac:dyDescent="0.2">
      <c r="J510" s="6"/>
    </row>
    <row r="511" spans="10:10" ht="15.75" customHeight="1" x14ac:dyDescent="0.2">
      <c r="J511" s="6"/>
    </row>
    <row r="512" spans="10:10" ht="15.75" customHeight="1" x14ac:dyDescent="0.2">
      <c r="J512" s="6"/>
    </row>
    <row r="513" spans="10:10" ht="15.75" customHeight="1" x14ac:dyDescent="0.2">
      <c r="J513" s="6"/>
    </row>
    <row r="514" spans="10:10" ht="15.75" customHeight="1" x14ac:dyDescent="0.2">
      <c r="J514" s="6"/>
    </row>
    <row r="515" spans="10:10" ht="15.75" customHeight="1" x14ac:dyDescent="0.2">
      <c r="J515" s="6"/>
    </row>
    <row r="516" spans="10:10" ht="15.75" customHeight="1" x14ac:dyDescent="0.2">
      <c r="J516" s="6"/>
    </row>
    <row r="517" spans="10:10" ht="15.75" customHeight="1" x14ac:dyDescent="0.2">
      <c r="J517" s="6"/>
    </row>
    <row r="518" spans="10:10" ht="15.75" customHeight="1" x14ac:dyDescent="0.2">
      <c r="J518" s="6"/>
    </row>
    <row r="519" spans="10:10" ht="15.75" customHeight="1" x14ac:dyDescent="0.2">
      <c r="J519" s="6"/>
    </row>
    <row r="520" spans="10:10" ht="15.75" customHeight="1" x14ac:dyDescent="0.2">
      <c r="J520" s="6"/>
    </row>
    <row r="521" spans="10:10" ht="15.75" customHeight="1" x14ac:dyDescent="0.2">
      <c r="J521" s="6"/>
    </row>
    <row r="522" spans="10:10" ht="15.75" customHeight="1" x14ac:dyDescent="0.2">
      <c r="J522" s="6"/>
    </row>
    <row r="523" spans="10:10" ht="15.75" customHeight="1" x14ac:dyDescent="0.2">
      <c r="J523" s="6"/>
    </row>
    <row r="524" spans="10:10" ht="15.75" customHeight="1" x14ac:dyDescent="0.2">
      <c r="J524" s="6"/>
    </row>
    <row r="525" spans="10:10" ht="15.75" customHeight="1" x14ac:dyDescent="0.2">
      <c r="J525" s="6"/>
    </row>
    <row r="526" spans="10:10" ht="15.75" customHeight="1" x14ac:dyDescent="0.2">
      <c r="J526" s="6"/>
    </row>
    <row r="527" spans="10:10" ht="15.75" customHeight="1" x14ac:dyDescent="0.2">
      <c r="J527" s="6"/>
    </row>
    <row r="528" spans="10:10" ht="15.75" customHeight="1" x14ac:dyDescent="0.2">
      <c r="J528" s="6"/>
    </row>
    <row r="529" spans="10:10" ht="15.75" customHeight="1" x14ac:dyDescent="0.2">
      <c r="J529" s="6"/>
    </row>
    <row r="530" spans="10:10" ht="15.75" customHeight="1" x14ac:dyDescent="0.2">
      <c r="J530" s="6"/>
    </row>
    <row r="531" spans="10:10" ht="15.75" customHeight="1" x14ac:dyDescent="0.2">
      <c r="J531" s="6"/>
    </row>
    <row r="532" spans="10:10" ht="15.75" customHeight="1" x14ac:dyDescent="0.2">
      <c r="J532" s="6"/>
    </row>
    <row r="533" spans="10:10" ht="15.75" customHeight="1" x14ac:dyDescent="0.2">
      <c r="J533" s="6"/>
    </row>
    <row r="534" spans="10:10" ht="15.75" customHeight="1" x14ac:dyDescent="0.2">
      <c r="J534" s="6"/>
    </row>
    <row r="535" spans="10:10" ht="15.75" customHeight="1" x14ac:dyDescent="0.2">
      <c r="J535" s="6"/>
    </row>
    <row r="536" spans="10:10" ht="15.75" customHeight="1" x14ac:dyDescent="0.2">
      <c r="J536" s="6"/>
    </row>
    <row r="537" spans="10:10" ht="15.75" customHeight="1" x14ac:dyDescent="0.2">
      <c r="J537" s="6"/>
    </row>
    <row r="538" spans="10:10" ht="15.75" customHeight="1" x14ac:dyDescent="0.2">
      <c r="J538" s="6"/>
    </row>
    <row r="539" spans="10:10" ht="15.75" customHeight="1" x14ac:dyDescent="0.2">
      <c r="J539" s="6"/>
    </row>
    <row r="540" spans="10:10" ht="15.75" customHeight="1" x14ac:dyDescent="0.2">
      <c r="J540" s="6"/>
    </row>
    <row r="541" spans="10:10" ht="15.75" customHeight="1" x14ac:dyDescent="0.2">
      <c r="J541" s="6"/>
    </row>
    <row r="542" spans="10:10" ht="15.75" customHeight="1" x14ac:dyDescent="0.2">
      <c r="J542" s="6"/>
    </row>
    <row r="543" spans="10:10" ht="15.75" customHeight="1" x14ac:dyDescent="0.2">
      <c r="J543" s="6"/>
    </row>
    <row r="544" spans="10:10" ht="15.75" customHeight="1" x14ac:dyDescent="0.2">
      <c r="J544" s="6"/>
    </row>
    <row r="545" spans="10:10" ht="15.75" customHeight="1" x14ac:dyDescent="0.2">
      <c r="J545" s="6"/>
    </row>
    <row r="546" spans="10:10" ht="15.75" customHeight="1" x14ac:dyDescent="0.2">
      <c r="J546" s="6"/>
    </row>
    <row r="547" spans="10:10" ht="15.75" customHeight="1" x14ac:dyDescent="0.2">
      <c r="J547" s="6"/>
    </row>
    <row r="548" spans="10:10" ht="15.75" customHeight="1" x14ac:dyDescent="0.2">
      <c r="J548" s="6"/>
    </row>
    <row r="549" spans="10:10" ht="15.75" customHeight="1" x14ac:dyDescent="0.2">
      <c r="J549" s="6"/>
    </row>
    <row r="550" spans="10:10" ht="15.75" customHeight="1" x14ac:dyDescent="0.2">
      <c r="J550" s="6"/>
    </row>
    <row r="551" spans="10:10" ht="15.75" customHeight="1" x14ac:dyDescent="0.2">
      <c r="J551" s="6"/>
    </row>
    <row r="552" spans="10:10" ht="15.75" customHeight="1" x14ac:dyDescent="0.2">
      <c r="J552" s="6"/>
    </row>
    <row r="553" spans="10:10" ht="15.75" customHeight="1" x14ac:dyDescent="0.2">
      <c r="J553" s="6"/>
    </row>
    <row r="554" spans="10:10" ht="15.75" customHeight="1" x14ac:dyDescent="0.2">
      <c r="J554" s="6"/>
    </row>
    <row r="555" spans="10:10" ht="15.75" customHeight="1" x14ac:dyDescent="0.2">
      <c r="J555" s="6"/>
    </row>
    <row r="556" spans="10:10" ht="15.75" customHeight="1" x14ac:dyDescent="0.2">
      <c r="J556" s="6"/>
    </row>
    <row r="557" spans="10:10" ht="15.75" customHeight="1" x14ac:dyDescent="0.2">
      <c r="J557" s="6"/>
    </row>
    <row r="558" spans="10:10" ht="15.75" customHeight="1" x14ac:dyDescent="0.2">
      <c r="J558" s="6"/>
    </row>
    <row r="559" spans="10:10" ht="15.75" customHeight="1" x14ac:dyDescent="0.2">
      <c r="J559" s="6"/>
    </row>
    <row r="560" spans="10:10" ht="15.75" customHeight="1" x14ac:dyDescent="0.2">
      <c r="J560" s="6"/>
    </row>
    <row r="561" spans="10:10" ht="15.75" customHeight="1" x14ac:dyDescent="0.2">
      <c r="J561" s="6"/>
    </row>
    <row r="562" spans="10:10" ht="15.75" customHeight="1" x14ac:dyDescent="0.2">
      <c r="J562" s="6"/>
    </row>
    <row r="563" spans="10:10" ht="15.75" customHeight="1" x14ac:dyDescent="0.2">
      <c r="J563" s="6"/>
    </row>
    <row r="564" spans="10:10" ht="15.75" customHeight="1" x14ac:dyDescent="0.2">
      <c r="J564" s="6"/>
    </row>
    <row r="565" spans="10:10" ht="15.75" customHeight="1" x14ac:dyDescent="0.2">
      <c r="J565" s="6"/>
    </row>
    <row r="566" spans="10:10" ht="15.75" customHeight="1" x14ac:dyDescent="0.2">
      <c r="J566" s="6"/>
    </row>
    <row r="567" spans="10:10" ht="15.75" customHeight="1" x14ac:dyDescent="0.2">
      <c r="J567" s="6"/>
    </row>
    <row r="568" spans="10:10" ht="15.75" customHeight="1" x14ac:dyDescent="0.2">
      <c r="J568" s="6"/>
    </row>
    <row r="569" spans="10:10" ht="15.75" customHeight="1" x14ac:dyDescent="0.2">
      <c r="J569" s="6"/>
    </row>
    <row r="570" spans="10:10" ht="15.75" customHeight="1" x14ac:dyDescent="0.2">
      <c r="J570" s="6"/>
    </row>
    <row r="571" spans="10:10" ht="15.75" customHeight="1" x14ac:dyDescent="0.2">
      <c r="J571" s="6"/>
    </row>
    <row r="572" spans="10:10" ht="15.75" customHeight="1" x14ac:dyDescent="0.2">
      <c r="J572" s="6"/>
    </row>
    <row r="573" spans="10:10" ht="15.75" customHeight="1" x14ac:dyDescent="0.2">
      <c r="J573" s="6"/>
    </row>
    <row r="574" spans="10:10" ht="15.75" customHeight="1" x14ac:dyDescent="0.2">
      <c r="J574" s="6"/>
    </row>
    <row r="575" spans="10:10" ht="15.75" customHeight="1" x14ac:dyDescent="0.2">
      <c r="J575" s="6"/>
    </row>
    <row r="576" spans="10:10" ht="15.75" customHeight="1" x14ac:dyDescent="0.2">
      <c r="J576" s="6"/>
    </row>
    <row r="577" spans="10:10" ht="15.75" customHeight="1" x14ac:dyDescent="0.2">
      <c r="J577" s="6"/>
    </row>
    <row r="578" spans="10:10" ht="15.75" customHeight="1" x14ac:dyDescent="0.2">
      <c r="J578" s="6"/>
    </row>
    <row r="579" spans="10:10" ht="15.75" customHeight="1" x14ac:dyDescent="0.2">
      <c r="J579" s="6"/>
    </row>
    <row r="580" spans="10:10" ht="15.75" customHeight="1" x14ac:dyDescent="0.2">
      <c r="J580" s="6"/>
    </row>
    <row r="581" spans="10:10" ht="15.75" customHeight="1" x14ac:dyDescent="0.2">
      <c r="J581" s="6"/>
    </row>
    <row r="582" spans="10:10" ht="15.75" customHeight="1" x14ac:dyDescent="0.2">
      <c r="J582" s="6"/>
    </row>
    <row r="583" spans="10:10" ht="15.75" customHeight="1" x14ac:dyDescent="0.2">
      <c r="J583" s="6"/>
    </row>
    <row r="584" spans="10:10" ht="15.75" customHeight="1" x14ac:dyDescent="0.2">
      <c r="J584" s="6"/>
    </row>
    <row r="585" spans="10:10" ht="15.75" customHeight="1" x14ac:dyDescent="0.2">
      <c r="J585" s="6"/>
    </row>
    <row r="586" spans="10:10" ht="15.75" customHeight="1" x14ac:dyDescent="0.2">
      <c r="J586" s="6"/>
    </row>
    <row r="587" spans="10:10" ht="15.75" customHeight="1" x14ac:dyDescent="0.2">
      <c r="J587" s="6"/>
    </row>
    <row r="588" spans="10:10" ht="15.75" customHeight="1" x14ac:dyDescent="0.2">
      <c r="J588" s="6"/>
    </row>
    <row r="589" spans="10:10" ht="15.75" customHeight="1" x14ac:dyDescent="0.2">
      <c r="J589" s="6"/>
    </row>
    <row r="590" spans="10:10" ht="15.75" customHeight="1" x14ac:dyDescent="0.2">
      <c r="J590" s="6"/>
    </row>
    <row r="591" spans="10:10" ht="15.75" customHeight="1" x14ac:dyDescent="0.2">
      <c r="J591" s="6"/>
    </row>
    <row r="592" spans="10:10" ht="15.75" customHeight="1" x14ac:dyDescent="0.2">
      <c r="J592" s="6"/>
    </row>
    <row r="593" spans="10:10" ht="15.75" customHeight="1" x14ac:dyDescent="0.2">
      <c r="J593" s="6"/>
    </row>
    <row r="594" spans="10:10" ht="15.75" customHeight="1" x14ac:dyDescent="0.2">
      <c r="J594" s="6"/>
    </row>
    <row r="595" spans="10:10" ht="15.75" customHeight="1" x14ac:dyDescent="0.2">
      <c r="J595" s="6"/>
    </row>
    <row r="596" spans="10:10" ht="15.75" customHeight="1" x14ac:dyDescent="0.2">
      <c r="J596" s="6"/>
    </row>
    <row r="597" spans="10:10" ht="15.75" customHeight="1" x14ac:dyDescent="0.2">
      <c r="J597" s="6"/>
    </row>
    <row r="598" spans="10:10" ht="15.75" customHeight="1" x14ac:dyDescent="0.2">
      <c r="J598" s="6"/>
    </row>
    <row r="599" spans="10:10" ht="15.75" customHeight="1" x14ac:dyDescent="0.2">
      <c r="J599" s="6"/>
    </row>
    <row r="600" spans="10:10" ht="15.75" customHeight="1" x14ac:dyDescent="0.2">
      <c r="J600" s="6"/>
    </row>
    <row r="601" spans="10:10" ht="15.75" customHeight="1" x14ac:dyDescent="0.2">
      <c r="J601" s="6"/>
    </row>
    <row r="602" spans="10:10" ht="15.75" customHeight="1" x14ac:dyDescent="0.2">
      <c r="J602" s="6"/>
    </row>
    <row r="603" spans="10:10" ht="15.75" customHeight="1" x14ac:dyDescent="0.2">
      <c r="J603" s="6"/>
    </row>
    <row r="604" spans="10:10" ht="15.75" customHeight="1" x14ac:dyDescent="0.2">
      <c r="J604" s="6"/>
    </row>
    <row r="605" spans="10:10" ht="15.75" customHeight="1" x14ac:dyDescent="0.2">
      <c r="J605" s="6"/>
    </row>
    <row r="606" spans="10:10" ht="15.75" customHeight="1" x14ac:dyDescent="0.2">
      <c r="J606" s="6"/>
    </row>
    <row r="607" spans="10:10" ht="15.75" customHeight="1" x14ac:dyDescent="0.2">
      <c r="J607" s="6"/>
    </row>
    <row r="608" spans="10:10" ht="15.75" customHeight="1" x14ac:dyDescent="0.2">
      <c r="J608" s="6"/>
    </row>
    <row r="609" spans="10:10" ht="15.75" customHeight="1" x14ac:dyDescent="0.2">
      <c r="J609" s="6"/>
    </row>
    <row r="610" spans="10:10" ht="15.75" customHeight="1" x14ac:dyDescent="0.2">
      <c r="J610" s="6"/>
    </row>
    <row r="611" spans="10:10" ht="15.75" customHeight="1" x14ac:dyDescent="0.2">
      <c r="J611" s="6"/>
    </row>
    <row r="612" spans="10:10" ht="15.75" customHeight="1" x14ac:dyDescent="0.2">
      <c r="J612" s="6"/>
    </row>
    <row r="613" spans="10:10" ht="15.75" customHeight="1" x14ac:dyDescent="0.2">
      <c r="J613" s="6"/>
    </row>
    <row r="614" spans="10:10" ht="15.75" customHeight="1" x14ac:dyDescent="0.2">
      <c r="J614" s="6"/>
    </row>
    <row r="615" spans="10:10" ht="15.75" customHeight="1" x14ac:dyDescent="0.2">
      <c r="J615" s="6"/>
    </row>
    <row r="616" spans="10:10" ht="15.75" customHeight="1" x14ac:dyDescent="0.2">
      <c r="J616" s="6"/>
    </row>
    <row r="617" spans="10:10" ht="15.75" customHeight="1" x14ac:dyDescent="0.2">
      <c r="J617" s="6"/>
    </row>
    <row r="618" spans="10:10" ht="15.75" customHeight="1" x14ac:dyDescent="0.2">
      <c r="J618" s="6"/>
    </row>
    <row r="619" spans="10:10" ht="15.75" customHeight="1" x14ac:dyDescent="0.2">
      <c r="J619" s="6"/>
    </row>
    <row r="620" spans="10:10" ht="15.75" customHeight="1" x14ac:dyDescent="0.2">
      <c r="J620" s="6"/>
    </row>
    <row r="621" spans="10:10" ht="15.75" customHeight="1" x14ac:dyDescent="0.2">
      <c r="J621" s="6"/>
    </row>
    <row r="622" spans="10:10" ht="15.75" customHeight="1" x14ac:dyDescent="0.2">
      <c r="J622" s="6"/>
    </row>
    <row r="623" spans="10:10" ht="15.75" customHeight="1" x14ac:dyDescent="0.2">
      <c r="J623" s="6"/>
    </row>
    <row r="624" spans="10:10" ht="15.75" customHeight="1" x14ac:dyDescent="0.2">
      <c r="J624" s="6"/>
    </row>
    <row r="625" spans="10:10" ht="15.75" customHeight="1" x14ac:dyDescent="0.2">
      <c r="J625" s="6"/>
    </row>
    <row r="626" spans="10:10" ht="15.75" customHeight="1" x14ac:dyDescent="0.2">
      <c r="J626" s="6"/>
    </row>
    <row r="627" spans="10:10" ht="15.75" customHeight="1" x14ac:dyDescent="0.2">
      <c r="J627" s="6"/>
    </row>
    <row r="628" spans="10:10" ht="15.75" customHeight="1" x14ac:dyDescent="0.2">
      <c r="J628" s="6"/>
    </row>
    <row r="629" spans="10:10" ht="15.75" customHeight="1" x14ac:dyDescent="0.2">
      <c r="J629" s="6"/>
    </row>
    <row r="630" spans="10:10" ht="15.75" customHeight="1" x14ac:dyDescent="0.2">
      <c r="J630" s="6"/>
    </row>
    <row r="631" spans="10:10" ht="15.75" customHeight="1" x14ac:dyDescent="0.2">
      <c r="J631" s="6"/>
    </row>
    <row r="632" spans="10:10" ht="15.75" customHeight="1" x14ac:dyDescent="0.2">
      <c r="J632" s="6"/>
    </row>
    <row r="633" spans="10:10" ht="15.75" customHeight="1" x14ac:dyDescent="0.2">
      <c r="J633" s="6"/>
    </row>
    <row r="634" spans="10:10" ht="15.75" customHeight="1" x14ac:dyDescent="0.2">
      <c r="J634" s="6"/>
    </row>
    <row r="635" spans="10:10" ht="15.75" customHeight="1" x14ac:dyDescent="0.2">
      <c r="J635" s="6"/>
    </row>
    <row r="636" spans="10:10" ht="15.75" customHeight="1" x14ac:dyDescent="0.2">
      <c r="J636" s="6"/>
    </row>
    <row r="637" spans="10:10" ht="15.75" customHeight="1" x14ac:dyDescent="0.2">
      <c r="J637" s="6"/>
    </row>
    <row r="638" spans="10:10" ht="15.75" customHeight="1" x14ac:dyDescent="0.2">
      <c r="J638" s="6"/>
    </row>
    <row r="639" spans="10:10" ht="15.75" customHeight="1" x14ac:dyDescent="0.2">
      <c r="J639" s="6"/>
    </row>
    <row r="640" spans="10:10" ht="15.75" customHeight="1" x14ac:dyDescent="0.2">
      <c r="J640" s="6"/>
    </row>
    <row r="641" spans="10:10" ht="15.75" customHeight="1" x14ac:dyDescent="0.2">
      <c r="J641" s="6"/>
    </row>
    <row r="642" spans="10:10" ht="15.75" customHeight="1" x14ac:dyDescent="0.2">
      <c r="J642" s="6"/>
    </row>
    <row r="643" spans="10:10" ht="15.75" customHeight="1" x14ac:dyDescent="0.2">
      <c r="J643" s="6"/>
    </row>
    <row r="644" spans="10:10" ht="15.75" customHeight="1" x14ac:dyDescent="0.2">
      <c r="J644" s="6"/>
    </row>
    <row r="645" spans="10:10" ht="15.75" customHeight="1" x14ac:dyDescent="0.2">
      <c r="J645" s="6"/>
    </row>
    <row r="646" spans="10:10" ht="15.75" customHeight="1" x14ac:dyDescent="0.2">
      <c r="J646" s="6"/>
    </row>
    <row r="647" spans="10:10" ht="15.75" customHeight="1" x14ac:dyDescent="0.2">
      <c r="J647" s="6"/>
    </row>
    <row r="648" spans="10:10" ht="15.75" customHeight="1" x14ac:dyDescent="0.2">
      <c r="J648" s="6"/>
    </row>
    <row r="649" spans="10:10" ht="15.75" customHeight="1" x14ac:dyDescent="0.2">
      <c r="J649" s="6"/>
    </row>
    <row r="650" spans="10:10" ht="15.75" customHeight="1" x14ac:dyDescent="0.2">
      <c r="J650" s="6"/>
    </row>
    <row r="651" spans="10:10" ht="15.75" customHeight="1" x14ac:dyDescent="0.2">
      <c r="J651" s="6"/>
    </row>
    <row r="652" spans="10:10" ht="15.75" customHeight="1" x14ac:dyDescent="0.2">
      <c r="J652" s="6"/>
    </row>
    <row r="653" spans="10:10" ht="15.75" customHeight="1" x14ac:dyDescent="0.2">
      <c r="J653" s="6"/>
    </row>
    <row r="654" spans="10:10" ht="15.75" customHeight="1" x14ac:dyDescent="0.2">
      <c r="J654" s="6"/>
    </row>
    <row r="655" spans="10:10" ht="15.75" customHeight="1" x14ac:dyDescent="0.2">
      <c r="J655" s="6"/>
    </row>
    <row r="656" spans="10:10" ht="15.75" customHeight="1" x14ac:dyDescent="0.2">
      <c r="J656" s="6"/>
    </row>
    <row r="657" spans="10:10" ht="15.75" customHeight="1" x14ac:dyDescent="0.2">
      <c r="J657" s="6"/>
    </row>
    <row r="658" spans="10:10" ht="15.75" customHeight="1" x14ac:dyDescent="0.2">
      <c r="J658" s="6"/>
    </row>
    <row r="659" spans="10:10" ht="15.75" customHeight="1" x14ac:dyDescent="0.2">
      <c r="J659" s="6"/>
    </row>
    <row r="660" spans="10:10" ht="15.75" customHeight="1" x14ac:dyDescent="0.2">
      <c r="J660" s="6"/>
    </row>
    <row r="661" spans="10:10" ht="15.75" customHeight="1" x14ac:dyDescent="0.2">
      <c r="J661" s="6"/>
    </row>
    <row r="662" spans="10:10" ht="15.75" customHeight="1" x14ac:dyDescent="0.2">
      <c r="J662" s="6"/>
    </row>
    <row r="663" spans="10:10" ht="15.75" customHeight="1" x14ac:dyDescent="0.2">
      <c r="J663" s="6"/>
    </row>
    <row r="664" spans="10:10" ht="15.75" customHeight="1" x14ac:dyDescent="0.2">
      <c r="J664" s="6"/>
    </row>
    <row r="665" spans="10:10" ht="15.75" customHeight="1" x14ac:dyDescent="0.2">
      <c r="J665" s="6"/>
    </row>
    <row r="666" spans="10:10" ht="15.75" customHeight="1" x14ac:dyDescent="0.2">
      <c r="J666" s="6"/>
    </row>
    <row r="667" spans="10:10" ht="15.75" customHeight="1" x14ac:dyDescent="0.2">
      <c r="J667" s="6"/>
    </row>
    <row r="668" spans="10:10" ht="15.75" customHeight="1" x14ac:dyDescent="0.2">
      <c r="J668" s="6"/>
    </row>
    <row r="669" spans="10:10" ht="15.75" customHeight="1" x14ac:dyDescent="0.2">
      <c r="J669" s="6"/>
    </row>
    <row r="670" spans="10:10" ht="15.75" customHeight="1" x14ac:dyDescent="0.2">
      <c r="J670" s="6"/>
    </row>
    <row r="671" spans="10:10" ht="15.75" customHeight="1" x14ac:dyDescent="0.2">
      <c r="J671" s="6"/>
    </row>
    <row r="672" spans="10:10" ht="15.75" customHeight="1" x14ac:dyDescent="0.2">
      <c r="J672" s="6"/>
    </row>
    <row r="673" spans="10:10" ht="15.75" customHeight="1" x14ac:dyDescent="0.2">
      <c r="J673" s="6"/>
    </row>
    <row r="674" spans="10:10" ht="15.75" customHeight="1" x14ac:dyDescent="0.2">
      <c r="J674" s="6"/>
    </row>
    <row r="675" spans="10:10" ht="15.75" customHeight="1" x14ac:dyDescent="0.2">
      <c r="J675" s="6"/>
    </row>
    <row r="676" spans="10:10" ht="15.75" customHeight="1" x14ac:dyDescent="0.2">
      <c r="J676" s="6"/>
    </row>
    <row r="677" spans="10:10" ht="15.75" customHeight="1" x14ac:dyDescent="0.2">
      <c r="J677" s="6"/>
    </row>
    <row r="678" spans="10:10" ht="15.75" customHeight="1" x14ac:dyDescent="0.2">
      <c r="J678" s="6"/>
    </row>
    <row r="679" spans="10:10" ht="15.75" customHeight="1" x14ac:dyDescent="0.2">
      <c r="J679" s="6"/>
    </row>
    <row r="680" spans="10:10" ht="15.75" customHeight="1" x14ac:dyDescent="0.2">
      <c r="J680" s="6"/>
    </row>
    <row r="681" spans="10:10" ht="15.75" customHeight="1" x14ac:dyDescent="0.2">
      <c r="J681" s="6"/>
    </row>
    <row r="682" spans="10:10" ht="15.75" customHeight="1" x14ac:dyDescent="0.2">
      <c r="J682" s="6"/>
    </row>
    <row r="683" spans="10:10" ht="15.75" customHeight="1" x14ac:dyDescent="0.2">
      <c r="J683" s="6"/>
    </row>
    <row r="684" spans="10:10" ht="15.75" customHeight="1" x14ac:dyDescent="0.2">
      <c r="J684" s="6"/>
    </row>
    <row r="685" spans="10:10" ht="15.75" customHeight="1" x14ac:dyDescent="0.2">
      <c r="J685" s="6"/>
    </row>
    <row r="686" spans="10:10" ht="15.75" customHeight="1" x14ac:dyDescent="0.2">
      <c r="J686" s="6"/>
    </row>
    <row r="687" spans="10:10" ht="15.75" customHeight="1" x14ac:dyDescent="0.2">
      <c r="J687" s="6"/>
    </row>
    <row r="688" spans="10:10" ht="15.75" customHeight="1" x14ac:dyDescent="0.2">
      <c r="J688" s="6"/>
    </row>
    <row r="689" spans="10:10" ht="15.75" customHeight="1" x14ac:dyDescent="0.2">
      <c r="J689" s="6"/>
    </row>
    <row r="690" spans="10:10" ht="15.75" customHeight="1" x14ac:dyDescent="0.2">
      <c r="J690" s="6"/>
    </row>
    <row r="691" spans="10:10" ht="15.75" customHeight="1" x14ac:dyDescent="0.2">
      <c r="J691" s="6"/>
    </row>
    <row r="692" spans="10:10" ht="15.75" customHeight="1" x14ac:dyDescent="0.2">
      <c r="J692" s="6"/>
    </row>
    <row r="693" spans="10:10" ht="15.75" customHeight="1" x14ac:dyDescent="0.2">
      <c r="J693" s="6"/>
    </row>
    <row r="694" spans="10:10" ht="15.75" customHeight="1" x14ac:dyDescent="0.2">
      <c r="J694" s="6"/>
    </row>
    <row r="695" spans="10:10" ht="15.75" customHeight="1" x14ac:dyDescent="0.2">
      <c r="J695" s="6"/>
    </row>
    <row r="696" spans="10:10" ht="15.75" customHeight="1" x14ac:dyDescent="0.2">
      <c r="J696" s="6"/>
    </row>
    <row r="697" spans="10:10" ht="15.75" customHeight="1" x14ac:dyDescent="0.2">
      <c r="J697" s="6"/>
    </row>
    <row r="698" spans="10:10" ht="15.75" customHeight="1" x14ac:dyDescent="0.2">
      <c r="J698" s="6"/>
    </row>
    <row r="699" spans="10:10" ht="15.75" customHeight="1" x14ac:dyDescent="0.2">
      <c r="J699" s="6"/>
    </row>
    <row r="700" spans="10:10" ht="15.75" customHeight="1" x14ac:dyDescent="0.2">
      <c r="J700" s="6"/>
    </row>
    <row r="701" spans="10:10" ht="15.75" customHeight="1" x14ac:dyDescent="0.2">
      <c r="J701" s="6"/>
    </row>
    <row r="702" spans="10:10" ht="15.75" customHeight="1" x14ac:dyDescent="0.2">
      <c r="J702" s="6"/>
    </row>
    <row r="703" spans="10:10" ht="15.75" customHeight="1" x14ac:dyDescent="0.2">
      <c r="J703" s="6"/>
    </row>
    <row r="704" spans="10:10" ht="15.75" customHeight="1" x14ac:dyDescent="0.2">
      <c r="J704" s="6"/>
    </row>
    <row r="705" spans="10:10" ht="15.75" customHeight="1" x14ac:dyDescent="0.2">
      <c r="J705" s="6"/>
    </row>
    <row r="706" spans="10:10" ht="15.75" customHeight="1" x14ac:dyDescent="0.2">
      <c r="J706" s="6"/>
    </row>
    <row r="707" spans="10:10" ht="15.75" customHeight="1" x14ac:dyDescent="0.2">
      <c r="J707" s="6"/>
    </row>
    <row r="708" spans="10:10" ht="15.75" customHeight="1" x14ac:dyDescent="0.2">
      <c r="J708" s="6"/>
    </row>
    <row r="709" spans="10:10" ht="15.75" customHeight="1" x14ac:dyDescent="0.2">
      <c r="J709" s="6"/>
    </row>
    <row r="710" spans="10:10" ht="15.75" customHeight="1" x14ac:dyDescent="0.2">
      <c r="J710" s="6"/>
    </row>
    <row r="711" spans="10:10" ht="15.75" customHeight="1" x14ac:dyDescent="0.2">
      <c r="J711" s="6"/>
    </row>
    <row r="712" spans="10:10" ht="15.75" customHeight="1" x14ac:dyDescent="0.2">
      <c r="J712" s="6"/>
    </row>
    <row r="713" spans="10:10" ht="15.75" customHeight="1" x14ac:dyDescent="0.2">
      <c r="J713" s="6"/>
    </row>
    <row r="714" spans="10:10" ht="15.75" customHeight="1" x14ac:dyDescent="0.2">
      <c r="J714" s="6"/>
    </row>
    <row r="715" spans="10:10" ht="15.75" customHeight="1" x14ac:dyDescent="0.2">
      <c r="J715" s="6"/>
    </row>
    <row r="716" spans="10:10" ht="15.75" customHeight="1" x14ac:dyDescent="0.2">
      <c r="J716" s="6"/>
    </row>
    <row r="717" spans="10:10" ht="15.75" customHeight="1" x14ac:dyDescent="0.2">
      <c r="J717" s="6"/>
    </row>
    <row r="718" spans="10:10" ht="15.75" customHeight="1" x14ac:dyDescent="0.2">
      <c r="J718" s="6"/>
    </row>
    <row r="719" spans="10:10" ht="15.75" customHeight="1" x14ac:dyDescent="0.2">
      <c r="J719" s="6"/>
    </row>
    <row r="720" spans="10:10" ht="15.75" customHeight="1" x14ac:dyDescent="0.2">
      <c r="J720" s="6"/>
    </row>
    <row r="721" spans="10:10" ht="15.75" customHeight="1" x14ac:dyDescent="0.2">
      <c r="J721" s="6"/>
    </row>
    <row r="722" spans="10:10" ht="15.75" customHeight="1" x14ac:dyDescent="0.2">
      <c r="J722" s="6"/>
    </row>
    <row r="723" spans="10:10" ht="15.75" customHeight="1" x14ac:dyDescent="0.2">
      <c r="J723" s="6"/>
    </row>
    <row r="724" spans="10:10" ht="15.75" customHeight="1" x14ac:dyDescent="0.2">
      <c r="J724" s="6"/>
    </row>
    <row r="725" spans="10:10" ht="15.75" customHeight="1" x14ac:dyDescent="0.2">
      <c r="J725" s="6"/>
    </row>
    <row r="726" spans="10:10" ht="15.75" customHeight="1" x14ac:dyDescent="0.2">
      <c r="J726" s="6"/>
    </row>
    <row r="727" spans="10:10" ht="15.75" customHeight="1" x14ac:dyDescent="0.2">
      <c r="J727" s="6"/>
    </row>
    <row r="728" spans="10:10" ht="15.75" customHeight="1" x14ac:dyDescent="0.2">
      <c r="J728" s="6"/>
    </row>
    <row r="729" spans="10:10" ht="15.75" customHeight="1" x14ac:dyDescent="0.2">
      <c r="J729" s="6"/>
    </row>
    <row r="730" spans="10:10" ht="15.75" customHeight="1" x14ac:dyDescent="0.2">
      <c r="J730" s="6"/>
    </row>
    <row r="731" spans="10:10" ht="15.75" customHeight="1" x14ac:dyDescent="0.2">
      <c r="J731" s="6"/>
    </row>
    <row r="732" spans="10:10" ht="15.75" customHeight="1" x14ac:dyDescent="0.2">
      <c r="J732" s="6"/>
    </row>
    <row r="733" spans="10:10" ht="15.75" customHeight="1" x14ac:dyDescent="0.2">
      <c r="J733" s="6"/>
    </row>
    <row r="734" spans="10:10" ht="15.75" customHeight="1" x14ac:dyDescent="0.2">
      <c r="J734" s="6"/>
    </row>
    <row r="735" spans="10:10" ht="15.75" customHeight="1" x14ac:dyDescent="0.2">
      <c r="J735" s="6"/>
    </row>
    <row r="736" spans="10:10" ht="15.75" customHeight="1" x14ac:dyDescent="0.2">
      <c r="J736" s="6"/>
    </row>
    <row r="737" spans="10:10" ht="15.75" customHeight="1" x14ac:dyDescent="0.2">
      <c r="J737" s="6"/>
    </row>
    <row r="738" spans="10:10" ht="15.75" customHeight="1" x14ac:dyDescent="0.2">
      <c r="J738" s="6"/>
    </row>
    <row r="739" spans="10:10" ht="15.75" customHeight="1" x14ac:dyDescent="0.2">
      <c r="J739" s="6"/>
    </row>
    <row r="740" spans="10:10" ht="15.75" customHeight="1" x14ac:dyDescent="0.2">
      <c r="J740" s="6"/>
    </row>
    <row r="741" spans="10:10" ht="15.75" customHeight="1" x14ac:dyDescent="0.2">
      <c r="J741" s="6"/>
    </row>
    <row r="742" spans="10:10" ht="15.75" customHeight="1" x14ac:dyDescent="0.2">
      <c r="J742" s="6"/>
    </row>
    <row r="743" spans="10:10" ht="15.75" customHeight="1" x14ac:dyDescent="0.2">
      <c r="J743" s="6"/>
    </row>
    <row r="744" spans="10:10" ht="15.75" customHeight="1" x14ac:dyDescent="0.2">
      <c r="J744" s="6"/>
    </row>
    <row r="745" spans="10:10" ht="15.75" customHeight="1" x14ac:dyDescent="0.2">
      <c r="J745" s="6"/>
    </row>
    <row r="746" spans="10:10" ht="15.75" customHeight="1" x14ac:dyDescent="0.2">
      <c r="J746" s="6"/>
    </row>
    <row r="747" spans="10:10" ht="15.75" customHeight="1" x14ac:dyDescent="0.2">
      <c r="J747" s="6"/>
    </row>
    <row r="748" spans="10:10" ht="15.75" customHeight="1" x14ac:dyDescent="0.2">
      <c r="J748" s="6"/>
    </row>
    <row r="749" spans="10:10" ht="15.75" customHeight="1" x14ac:dyDescent="0.2">
      <c r="J749" s="6"/>
    </row>
    <row r="750" spans="10:10" ht="15.75" customHeight="1" x14ac:dyDescent="0.2">
      <c r="J750" s="6"/>
    </row>
    <row r="751" spans="10:10" ht="15.75" customHeight="1" x14ac:dyDescent="0.2">
      <c r="J751" s="6"/>
    </row>
    <row r="752" spans="10:10" ht="15.75" customHeight="1" x14ac:dyDescent="0.2">
      <c r="J752" s="6"/>
    </row>
    <row r="753" spans="10:10" ht="15.75" customHeight="1" x14ac:dyDescent="0.2">
      <c r="J753" s="6"/>
    </row>
    <row r="754" spans="10:10" ht="15.75" customHeight="1" x14ac:dyDescent="0.2">
      <c r="J754" s="6"/>
    </row>
    <row r="755" spans="10:10" ht="15.75" customHeight="1" x14ac:dyDescent="0.2">
      <c r="J755" s="6"/>
    </row>
    <row r="756" spans="10:10" ht="15.75" customHeight="1" x14ac:dyDescent="0.2">
      <c r="J756" s="6"/>
    </row>
    <row r="757" spans="10:10" ht="15.75" customHeight="1" x14ac:dyDescent="0.2">
      <c r="J757" s="6"/>
    </row>
    <row r="758" spans="10:10" ht="15.75" customHeight="1" x14ac:dyDescent="0.2">
      <c r="J758" s="6"/>
    </row>
    <row r="759" spans="10:10" ht="15.75" customHeight="1" x14ac:dyDescent="0.2">
      <c r="J759" s="6"/>
    </row>
    <row r="760" spans="10:10" ht="15.75" customHeight="1" x14ac:dyDescent="0.2">
      <c r="J760" s="6"/>
    </row>
    <row r="761" spans="10:10" ht="15.75" customHeight="1" x14ac:dyDescent="0.2">
      <c r="J761" s="6"/>
    </row>
    <row r="762" spans="10:10" ht="15.75" customHeight="1" x14ac:dyDescent="0.2">
      <c r="J762" s="6"/>
    </row>
    <row r="763" spans="10:10" ht="15.75" customHeight="1" x14ac:dyDescent="0.2">
      <c r="J763" s="6"/>
    </row>
    <row r="764" spans="10:10" ht="15.75" customHeight="1" x14ac:dyDescent="0.2">
      <c r="J764" s="6"/>
    </row>
    <row r="765" spans="10:10" ht="15.75" customHeight="1" x14ac:dyDescent="0.2">
      <c r="J765" s="6"/>
    </row>
    <row r="766" spans="10:10" ht="15.75" customHeight="1" x14ac:dyDescent="0.2">
      <c r="J766" s="6"/>
    </row>
    <row r="767" spans="10:10" ht="15.75" customHeight="1" x14ac:dyDescent="0.2">
      <c r="J767" s="6"/>
    </row>
    <row r="768" spans="10:10" ht="15.75" customHeight="1" x14ac:dyDescent="0.2">
      <c r="J768" s="6"/>
    </row>
    <row r="769" spans="10:10" ht="15.75" customHeight="1" x14ac:dyDescent="0.2">
      <c r="J769" s="6"/>
    </row>
    <row r="770" spans="10:10" ht="15.75" customHeight="1" x14ac:dyDescent="0.2">
      <c r="J770" s="6"/>
    </row>
    <row r="771" spans="10:10" ht="15.75" customHeight="1" x14ac:dyDescent="0.2">
      <c r="J771" s="6"/>
    </row>
    <row r="772" spans="10:10" ht="15.75" customHeight="1" x14ac:dyDescent="0.2">
      <c r="J772" s="6"/>
    </row>
    <row r="773" spans="10:10" ht="15.75" customHeight="1" x14ac:dyDescent="0.2">
      <c r="J773" s="6"/>
    </row>
    <row r="774" spans="10:10" ht="15.75" customHeight="1" x14ac:dyDescent="0.2">
      <c r="J774" s="6"/>
    </row>
    <row r="775" spans="10:10" ht="15.75" customHeight="1" x14ac:dyDescent="0.2">
      <c r="J775" s="6"/>
    </row>
    <row r="776" spans="10:10" ht="15.75" customHeight="1" x14ac:dyDescent="0.2">
      <c r="J776" s="6"/>
    </row>
    <row r="777" spans="10:10" ht="15.75" customHeight="1" x14ac:dyDescent="0.2">
      <c r="J777" s="6"/>
    </row>
    <row r="778" spans="10:10" ht="15.75" customHeight="1" x14ac:dyDescent="0.2">
      <c r="J778" s="6"/>
    </row>
    <row r="779" spans="10:10" ht="15.75" customHeight="1" x14ac:dyDescent="0.2">
      <c r="J779" s="6"/>
    </row>
    <row r="780" spans="10:10" ht="15.75" customHeight="1" x14ac:dyDescent="0.2">
      <c r="J780" s="6"/>
    </row>
    <row r="781" spans="10:10" ht="15.75" customHeight="1" x14ac:dyDescent="0.2">
      <c r="J781" s="6"/>
    </row>
    <row r="782" spans="10:10" ht="15.75" customHeight="1" x14ac:dyDescent="0.2">
      <c r="J782" s="6"/>
    </row>
    <row r="783" spans="10:10" ht="15.75" customHeight="1" x14ac:dyDescent="0.2">
      <c r="J783" s="6"/>
    </row>
    <row r="784" spans="10:10" ht="15.75" customHeight="1" x14ac:dyDescent="0.2">
      <c r="J784" s="6"/>
    </row>
    <row r="785" spans="10:10" ht="15.75" customHeight="1" x14ac:dyDescent="0.2">
      <c r="J785" s="6"/>
    </row>
    <row r="786" spans="10:10" ht="15.75" customHeight="1" x14ac:dyDescent="0.2">
      <c r="J786" s="6"/>
    </row>
    <row r="787" spans="10:10" ht="15.75" customHeight="1" x14ac:dyDescent="0.2">
      <c r="J787" s="6"/>
    </row>
    <row r="788" spans="10:10" ht="15.75" customHeight="1" x14ac:dyDescent="0.2">
      <c r="J788" s="6"/>
    </row>
    <row r="789" spans="10:10" ht="15.75" customHeight="1" x14ac:dyDescent="0.2">
      <c r="J789" s="6"/>
    </row>
    <row r="790" spans="10:10" ht="15.75" customHeight="1" x14ac:dyDescent="0.2">
      <c r="J790" s="6"/>
    </row>
    <row r="791" spans="10:10" ht="15.75" customHeight="1" x14ac:dyDescent="0.2">
      <c r="J791" s="6"/>
    </row>
    <row r="792" spans="10:10" ht="15.75" customHeight="1" x14ac:dyDescent="0.2">
      <c r="J792" s="6"/>
    </row>
    <row r="793" spans="10:10" ht="15.75" customHeight="1" x14ac:dyDescent="0.2">
      <c r="J793" s="6"/>
    </row>
    <row r="794" spans="10:10" ht="15.75" customHeight="1" x14ac:dyDescent="0.2">
      <c r="J794" s="6"/>
    </row>
    <row r="795" spans="10:10" ht="15.75" customHeight="1" x14ac:dyDescent="0.2">
      <c r="J795" s="6"/>
    </row>
    <row r="796" spans="10:10" ht="15.75" customHeight="1" x14ac:dyDescent="0.2">
      <c r="J796" s="6"/>
    </row>
    <row r="797" spans="10:10" ht="15.75" customHeight="1" x14ac:dyDescent="0.2">
      <c r="J797" s="6"/>
    </row>
    <row r="798" spans="10:10" ht="15.75" customHeight="1" x14ac:dyDescent="0.2">
      <c r="J798" s="6"/>
    </row>
    <row r="799" spans="10:10" ht="15.75" customHeight="1" x14ac:dyDescent="0.2">
      <c r="J799" s="6"/>
    </row>
    <row r="800" spans="10:10" ht="15.75" customHeight="1" x14ac:dyDescent="0.2">
      <c r="J800" s="6"/>
    </row>
    <row r="801" spans="10:10" ht="15.75" customHeight="1" x14ac:dyDescent="0.2">
      <c r="J801" s="6"/>
    </row>
    <row r="802" spans="10:10" ht="15.75" customHeight="1" x14ac:dyDescent="0.2">
      <c r="J802" s="6"/>
    </row>
    <row r="803" spans="10:10" ht="15.75" customHeight="1" x14ac:dyDescent="0.2">
      <c r="J803" s="6"/>
    </row>
    <row r="804" spans="10:10" ht="15.75" customHeight="1" x14ac:dyDescent="0.2">
      <c r="J804" s="6"/>
    </row>
    <row r="805" spans="10:10" ht="15.75" customHeight="1" x14ac:dyDescent="0.2">
      <c r="J805" s="6"/>
    </row>
    <row r="806" spans="10:10" ht="15.75" customHeight="1" x14ac:dyDescent="0.2">
      <c r="J806" s="6"/>
    </row>
    <row r="807" spans="10:10" ht="15.75" customHeight="1" x14ac:dyDescent="0.2">
      <c r="J807" s="6"/>
    </row>
    <row r="808" spans="10:10" ht="15.75" customHeight="1" x14ac:dyDescent="0.2">
      <c r="J808" s="6"/>
    </row>
    <row r="809" spans="10:10" ht="15.75" customHeight="1" x14ac:dyDescent="0.2">
      <c r="J809" s="6"/>
    </row>
    <row r="810" spans="10:10" ht="15.75" customHeight="1" x14ac:dyDescent="0.2">
      <c r="J810" s="6"/>
    </row>
    <row r="811" spans="10:10" ht="15.75" customHeight="1" x14ac:dyDescent="0.2">
      <c r="J811" s="6"/>
    </row>
    <row r="812" spans="10:10" ht="15.75" customHeight="1" x14ac:dyDescent="0.2">
      <c r="J812" s="6"/>
    </row>
    <row r="813" spans="10:10" ht="15.75" customHeight="1" x14ac:dyDescent="0.2">
      <c r="J813" s="6"/>
    </row>
    <row r="814" spans="10:10" ht="15.75" customHeight="1" x14ac:dyDescent="0.2">
      <c r="J814" s="6"/>
    </row>
    <row r="815" spans="10:10" ht="15.75" customHeight="1" x14ac:dyDescent="0.2">
      <c r="J815" s="6"/>
    </row>
    <row r="816" spans="10:10" ht="15.75" customHeight="1" x14ac:dyDescent="0.2">
      <c r="J816" s="6"/>
    </row>
    <row r="817" spans="10:10" ht="15.75" customHeight="1" x14ac:dyDescent="0.2">
      <c r="J817" s="6"/>
    </row>
    <row r="818" spans="10:10" ht="15.75" customHeight="1" x14ac:dyDescent="0.2">
      <c r="J818" s="6"/>
    </row>
    <row r="819" spans="10:10" ht="15.75" customHeight="1" x14ac:dyDescent="0.2">
      <c r="J819" s="6"/>
    </row>
    <row r="820" spans="10:10" ht="15.75" customHeight="1" x14ac:dyDescent="0.2">
      <c r="J820" s="6"/>
    </row>
    <row r="821" spans="10:10" ht="15.75" customHeight="1" x14ac:dyDescent="0.2">
      <c r="J821" s="6"/>
    </row>
    <row r="822" spans="10:10" ht="15.75" customHeight="1" x14ac:dyDescent="0.2">
      <c r="J822" s="6"/>
    </row>
    <row r="823" spans="10:10" ht="15.75" customHeight="1" x14ac:dyDescent="0.2">
      <c r="J823" s="6"/>
    </row>
    <row r="824" spans="10:10" ht="15.75" customHeight="1" x14ac:dyDescent="0.2">
      <c r="J824" s="6"/>
    </row>
    <row r="825" spans="10:10" ht="15.75" customHeight="1" x14ac:dyDescent="0.2">
      <c r="J825" s="6"/>
    </row>
    <row r="826" spans="10:10" ht="15.75" customHeight="1" x14ac:dyDescent="0.2">
      <c r="J826" s="6"/>
    </row>
    <row r="827" spans="10:10" ht="15.75" customHeight="1" x14ac:dyDescent="0.2">
      <c r="J827" s="6"/>
    </row>
    <row r="828" spans="10:10" ht="15.75" customHeight="1" x14ac:dyDescent="0.2">
      <c r="J828" s="6"/>
    </row>
    <row r="829" spans="10:10" ht="15.75" customHeight="1" x14ac:dyDescent="0.2">
      <c r="J829" s="6"/>
    </row>
    <row r="830" spans="10:10" ht="15.75" customHeight="1" x14ac:dyDescent="0.2">
      <c r="J830" s="6"/>
    </row>
    <row r="831" spans="10:10" ht="15.75" customHeight="1" x14ac:dyDescent="0.2">
      <c r="J831" s="6"/>
    </row>
    <row r="832" spans="10:10" ht="15.75" customHeight="1" x14ac:dyDescent="0.2">
      <c r="J832" s="6"/>
    </row>
    <row r="833" spans="10:10" ht="15.75" customHeight="1" x14ac:dyDescent="0.2">
      <c r="J833" s="6"/>
    </row>
    <row r="834" spans="10:10" ht="15.75" customHeight="1" x14ac:dyDescent="0.2">
      <c r="J834" s="6"/>
    </row>
    <row r="835" spans="10:10" ht="15.75" customHeight="1" x14ac:dyDescent="0.2">
      <c r="J835" s="6"/>
    </row>
    <row r="836" spans="10:10" ht="15.75" customHeight="1" x14ac:dyDescent="0.2">
      <c r="J836" s="6"/>
    </row>
    <row r="837" spans="10:10" ht="15.75" customHeight="1" x14ac:dyDescent="0.2">
      <c r="J837" s="6"/>
    </row>
    <row r="838" spans="10:10" ht="15.75" customHeight="1" x14ac:dyDescent="0.2">
      <c r="J838" s="6"/>
    </row>
    <row r="839" spans="10:10" ht="15.75" customHeight="1" x14ac:dyDescent="0.2">
      <c r="J839" s="6"/>
    </row>
    <row r="840" spans="10:10" ht="15.75" customHeight="1" x14ac:dyDescent="0.2">
      <c r="J840" s="6"/>
    </row>
    <row r="841" spans="10:10" ht="15.75" customHeight="1" x14ac:dyDescent="0.2">
      <c r="J841" s="6"/>
    </row>
    <row r="842" spans="10:10" ht="15.75" customHeight="1" x14ac:dyDescent="0.2">
      <c r="J842" s="6"/>
    </row>
    <row r="843" spans="10:10" ht="15.75" customHeight="1" x14ac:dyDescent="0.2">
      <c r="J843" s="6"/>
    </row>
    <row r="844" spans="10:10" ht="15.75" customHeight="1" x14ac:dyDescent="0.2">
      <c r="J844" s="6"/>
    </row>
    <row r="845" spans="10:10" ht="15.75" customHeight="1" x14ac:dyDescent="0.2">
      <c r="J845" s="6"/>
    </row>
    <row r="846" spans="10:10" ht="15.75" customHeight="1" x14ac:dyDescent="0.2">
      <c r="J846" s="6"/>
    </row>
    <row r="847" spans="10:10" ht="15.75" customHeight="1" x14ac:dyDescent="0.2">
      <c r="J847" s="6"/>
    </row>
    <row r="848" spans="10:10" ht="15.75" customHeight="1" x14ac:dyDescent="0.2">
      <c r="J848" s="6"/>
    </row>
    <row r="849" spans="10:10" ht="15.75" customHeight="1" x14ac:dyDescent="0.2">
      <c r="J849" s="6"/>
    </row>
    <row r="850" spans="10:10" ht="15.75" customHeight="1" x14ac:dyDescent="0.2">
      <c r="J850" s="6"/>
    </row>
    <row r="851" spans="10:10" ht="15.75" customHeight="1" x14ac:dyDescent="0.2">
      <c r="J851" s="6"/>
    </row>
    <row r="852" spans="10:10" ht="15.75" customHeight="1" x14ac:dyDescent="0.2">
      <c r="J852" s="6"/>
    </row>
    <row r="853" spans="10:10" ht="15.75" customHeight="1" x14ac:dyDescent="0.2">
      <c r="J853" s="6"/>
    </row>
    <row r="854" spans="10:10" ht="15.75" customHeight="1" x14ac:dyDescent="0.2">
      <c r="J854" s="6"/>
    </row>
    <row r="855" spans="10:10" ht="15.75" customHeight="1" x14ac:dyDescent="0.2">
      <c r="J855" s="6"/>
    </row>
    <row r="856" spans="10:10" ht="15.75" customHeight="1" x14ac:dyDescent="0.2">
      <c r="J856" s="6"/>
    </row>
    <row r="857" spans="10:10" ht="15.75" customHeight="1" x14ac:dyDescent="0.2">
      <c r="J857" s="6"/>
    </row>
    <row r="858" spans="10:10" ht="15.75" customHeight="1" x14ac:dyDescent="0.2">
      <c r="J858" s="6"/>
    </row>
    <row r="859" spans="10:10" ht="15.75" customHeight="1" x14ac:dyDescent="0.2">
      <c r="J859" s="6"/>
    </row>
    <row r="860" spans="10:10" ht="15.75" customHeight="1" x14ac:dyDescent="0.2">
      <c r="J860" s="6"/>
    </row>
    <row r="861" spans="10:10" ht="15.75" customHeight="1" x14ac:dyDescent="0.2">
      <c r="J861" s="6"/>
    </row>
    <row r="862" spans="10:10" ht="15.75" customHeight="1" x14ac:dyDescent="0.2">
      <c r="J862" s="6"/>
    </row>
    <row r="863" spans="10:10" ht="15.75" customHeight="1" x14ac:dyDescent="0.2">
      <c r="J863" s="6"/>
    </row>
    <row r="864" spans="10:10" ht="15.75" customHeight="1" x14ac:dyDescent="0.2">
      <c r="J864" s="6"/>
    </row>
    <row r="865" spans="10:10" ht="15.75" customHeight="1" x14ac:dyDescent="0.2">
      <c r="J865" s="6"/>
    </row>
    <row r="866" spans="10:10" ht="15.75" customHeight="1" x14ac:dyDescent="0.2">
      <c r="J866" s="6"/>
    </row>
    <row r="867" spans="10:10" ht="15.75" customHeight="1" x14ac:dyDescent="0.2">
      <c r="J867" s="6"/>
    </row>
    <row r="868" spans="10:10" ht="15.75" customHeight="1" x14ac:dyDescent="0.2">
      <c r="J868" s="6"/>
    </row>
    <row r="869" spans="10:10" ht="15.75" customHeight="1" x14ac:dyDescent="0.2">
      <c r="J869" s="6"/>
    </row>
    <row r="870" spans="10:10" ht="15.75" customHeight="1" x14ac:dyDescent="0.2">
      <c r="J870" s="6"/>
    </row>
    <row r="871" spans="10:10" ht="15.75" customHeight="1" x14ac:dyDescent="0.2">
      <c r="J871" s="6"/>
    </row>
    <row r="872" spans="10:10" ht="15.75" customHeight="1" x14ac:dyDescent="0.2">
      <c r="J872" s="6"/>
    </row>
    <row r="873" spans="10:10" ht="15.75" customHeight="1" x14ac:dyDescent="0.2">
      <c r="J873" s="6"/>
    </row>
    <row r="874" spans="10:10" ht="15.75" customHeight="1" x14ac:dyDescent="0.2">
      <c r="J874" s="6"/>
    </row>
    <row r="875" spans="10:10" ht="15.75" customHeight="1" x14ac:dyDescent="0.2">
      <c r="J875" s="6"/>
    </row>
    <row r="876" spans="10:10" ht="15.75" customHeight="1" x14ac:dyDescent="0.2">
      <c r="J876" s="6"/>
    </row>
    <row r="877" spans="10:10" ht="15.75" customHeight="1" x14ac:dyDescent="0.2">
      <c r="J877" s="6"/>
    </row>
    <row r="878" spans="10:10" ht="15.75" customHeight="1" x14ac:dyDescent="0.2">
      <c r="J878" s="6"/>
    </row>
    <row r="879" spans="10:10" ht="15.75" customHeight="1" x14ac:dyDescent="0.2">
      <c r="J879" s="6"/>
    </row>
    <row r="880" spans="10:10" ht="15.75" customHeight="1" x14ac:dyDescent="0.2">
      <c r="J880" s="6"/>
    </row>
    <row r="881" spans="10:10" ht="15.75" customHeight="1" x14ac:dyDescent="0.2">
      <c r="J881" s="6"/>
    </row>
    <row r="882" spans="10:10" ht="15.75" customHeight="1" x14ac:dyDescent="0.2">
      <c r="J882" s="6"/>
    </row>
    <row r="883" spans="10:10" ht="15.75" customHeight="1" x14ac:dyDescent="0.2">
      <c r="J883" s="6"/>
    </row>
    <row r="884" spans="10:10" ht="15.75" customHeight="1" x14ac:dyDescent="0.2">
      <c r="J884" s="6"/>
    </row>
    <row r="885" spans="10:10" ht="15.75" customHeight="1" x14ac:dyDescent="0.2">
      <c r="J885" s="6"/>
    </row>
    <row r="886" spans="10:10" ht="15.75" customHeight="1" x14ac:dyDescent="0.2">
      <c r="J886" s="6"/>
    </row>
    <row r="887" spans="10:10" ht="15.75" customHeight="1" x14ac:dyDescent="0.2">
      <c r="J887" s="6"/>
    </row>
    <row r="888" spans="10:10" ht="15.75" customHeight="1" x14ac:dyDescent="0.2">
      <c r="J888" s="6"/>
    </row>
    <row r="889" spans="10:10" ht="15.75" customHeight="1" x14ac:dyDescent="0.2">
      <c r="J889" s="6"/>
    </row>
    <row r="890" spans="10:10" ht="15.75" customHeight="1" x14ac:dyDescent="0.2">
      <c r="J890" s="6"/>
    </row>
    <row r="891" spans="10:10" ht="15.75" customHeight="1" x14ac:dyDescent="0.2">
      <c r="J891" s="6"/>
    </row>
    <row r="892" spans="10:10" ht="15.75" customHeight="1" x14ac:dyDescent="0.2">
      <c r="J892" s="6"/>
    </row>
    <row r="893" spans="10:10" ht="15.75" customHeight="1" x14ac:dyDescent="0.2">
      <c r="J893" s="6"/>
    </row>
    <row r="894" spans="10:10" ht="15.75" customHeight="1" x14ac:dyDescent="0.2">
      <c r="J894" s="6"/>
    </row>
    <row r="895" spans="10:10" ht="15.75" customHeight="1" x14ac:dyDescent="0.2">
      <c r="J895" s="6"/>
    </row>
    <row r="896" spans="10:10" ht="15.75" customHeight="1" x14ac:dyDescent="0.2">
      <c r="J896" s="6"/>
    </row>
    <row r="897" spans="10:10" ht="15.75" customHeight="1" x14ac:dyDescent="0.2">
      <c r="J897" s="6"/>
    </row>
    <row r="898" spans="10:10" ht="15.75" customHeight="1" x14ac:dyDescent="0.2">
      <c r="J898" s="6"/>
    </row>
    <row r="899" spans="10:10" ht="15.75" customHeight="1" x14ac:dyDescent="0.2">
      <c r="J899" s="6"/>
    </row>
    <row r="900" spans="10:10" ht="15.75" customHeight="1" x14ac:dyDescent="0.2">
      <c r="J900" s="6"/>
    </row>
    <row r="901" spans="10:10" ht="15.75" customHeight="1" x14ac:dyDescent="0.2">
      <c r="J901" s="6"/>
    </row>
    <row r="902" spans="10:10" ht="15.75" customHeight="1" x14ac:dyDescent="0.2">
      <c r="J902" s="6"/>
    </row>
    <row r="903" spans="10:10" ht="15.75" customHeight="1" x14ac:dyDescent="0.2">
      <c r="J903" s="6"/>
    </row>
    <row r="904" spans="10:10" ht="15.75" customHeight="1" x14ac:dyDescent="0.2">
      <c r="J904" s="6"/>
    </row>
    <row r="905" spans="10:10" ht="15.75" customHeight="1" x14ac:dyDescent="0.2">
      <c r="J905" s="6"/>
    </row>
    <row r="906" spans="10:10" ht="15.75" customHeight="1" x14ac:dyDescent="0.2">
      <c r="J906" s="6"/>
    </row>
    <row r="907" spans="10:10" ht="15.75" customHeight="1" x14ac:dyDescent="0.2">
      <c r="J907" s="6"/>
    </row>
    <row r="908" spans="10:10" ht="15.75" customHeight="1" x14ac:dyDescent="0.2">
      <c r="J908" s="6"/>
    </row>
    <row r="909" spans="10:10" ht="15.75" customHeight="1" x14ac:dyDescent="0.2">
      <c r="J909" s="6"/>
    </row>
    <row r="910" spans="10:10" ht="15.75" customHeight="1" x14ac:dyDescent="0.2">
      <c r="J910" s="6"/>
    </row>
    <row r="911" spans="10:10" ht="15.75" customHeight="1" x14ac:dyDescent="0.2">
      <c r="J911" s="6"/>
    </row>
    <row r="912" spans="10:10" ht="15.75" customHeight="1" x14ac:dyDescent="0.2">
      <c r="J912" s="6"/>
    </row>
    <row r="913" spans="10:10" ht="15.75" customHeight="1" x14ac:dyDescent="0.2">
      <c r="J913" s="6"/>
    </row>
    <row r="914" spans="10:10" ht="15.75" customHeight="1" x14ac:dyDescent="0.2">
      <c r="J914" s="6"/>
    </row>
    <row r="915" spans="10:10" ht="15.75" customHeight="1" x14ac:dyDescent="0.2">
      <c r="J915" s="6"/>
    </row>
    <row r="916" spans="10:10" ht="15.75" customHeight="1" x14ac:dyDescent="0.2">
      <c r="J916" s="6"/>
    </row>
    <row r="917" spans="10:10" ht="15.75" customHeight="1" x14ac:dyDescent="0.2">
      <c r="J917" s="6"/>
    </row>
    <row r="918" spans="10:10" ht="15.75" customHeight="1" x14ac:dyDescent="0.2">
      <c r="J918" s="6"/>
    </row>
    <row r="919" spans="10:10" ht="15.75" customHeight="1" x14ac:dyDescent="0.2">
      <c r="J919" s="6"/>
    </row>
    <row r="920" spans="10:10" ht="15.75" customHeight="1" x14ac:dyDescent="0.2">
      <c r="J920" s="6"/>
    </row>
    <row r="921" spans="10:10" ht="15.75" customHeight="1" x14ac:dyDescent="0.2">
      <c r="J921" s="6"/>
    </row>
    <row r="922" spans="10:10" ht="15.75" customHeight="1" x14ac:dyDescent="0.2">
      <c r="J922" s="6"/>
    </row>
    <row r="923" spans="10:10" ht="15.75" customHeight="1" x14ac:dyDescent="0.2">
      <c r="J923" s="6"/>
    </row>
    <row r="924" spans="10:10" ht="15.75" customHeight="1" x14ac:dyDescent="0.2">
      <c r="J924" s="6"/>
    </row>
    <row r="925" spans="10:10" ht="15.75" customHeight="1" x14ac:dyDescent="0.2">
      <c r="J925" s="6"/>
    </row>
    <row r="926" spans="10:10" ht="15.75" customHeight="1" x14ac:dyDescent="0.2">
      <c r="J926" s="6"/>
    </row>
    <row r="927" spans="10:10" ht="15.75" customHeight="1" x14ac:dyDescent="0.2">
      <c r="J927" s="6"/>
    </row>
    <row r="928" spans="10:10" ht="15.75" customHeight="1" x14ac:dyDescent="0.2">
      <c r="J928" s="6"/>
    </row>
    <row r="929" spans="10:10" ht="15.75" customHeight="1" x14ac:dyDescent="0.2">
      <c r="J929" s="6"/>
    </row>
    <row r="930" spans="10:10" ht="15.75" customHeight="1" x14ac:dyDescent="0.2">
      <c r="J930" s="6"/>
    </row>
    <row r="931" spans="10:10" ht="15.75" customHeight="1" x14ac:dyDescent="0.2">
      <c r="J931" s="6"/>
    </row>
    <row r="932" spans="10:10" ht="15.75" customHeight="1" x14ac:dyDescent="0.2">
      <c r="J932" s="6"/>
    </row>
    <row r="933" spans="10:10" ht="15.75" customHeight="1" x14ac:dyDescent="0.2">
      <c r="J933" s="6"/>
    </row>
    <row r="934" spans="10:10" ht="15.75" customHeight="1" x14ac:dyDescent="0.2">
      <c r="J934" s="6"/>
    </row>
    <row r="935" spans="10:10" ht="15.75" customHeight="1" x14ac:dyDescent="0.2">
      <c r="J935" s="6"/>
    </row>
    <row r="936" spans="10:10" ht="15.75" customHeight="1" x14ac:dyDescent="0.2">
      <c r="J936" s="6"/>
    </row>
    <row r="937" spans="10:10" ht="15.75" customHeight="1" x14ac:dyDescent="0.2">
      <c r="J937" s="6"/>
    </row>
    <row r="938" spans="10:10" ht="15.75" customHeight="1" x14ac:dyDescent="0.2">
      <c r="J938" s="6"/>
    </row>
    <row r="939" spans="10:10" ht="15.75" customHeight="1" x14ac:dyDescent="0.2">
      <c r="J939" s="6"/>
    </row>
    <row r="940" spans="10:10" ht="15.75" customHeight="1" x14ac:dyDescent="0.2">
      <c r="J940" s="6"/>
    </row>
    <row r="941" spans="10:10" ht="15.75" customHeight="1" x14ac:dyDescent="0.2">
      <c r="J941" s="6"/>
    </row>
    <row r="942" spans="10:10" ht="15.75" customHeight="1" x14ac:dyDescent="0.2">
      <c r="J942" s="6"/>
    </row>
    <row r="943" spans="10:10" ht="15.75" customHeight="1" x14ac:dyDescent="0.2">
      <c r="J943" s="6"/>
    </row>
    <row r="944" spans="10:10" ht="15.75" customHeight="1" x14ac:dyDescent="0.2">
      <c r="J944" s="6"/>
    </row>
    <row r="945" spans="10:10" ht="15.75" customHeight="1" x14ac:dyDescent="0.2">
      <c r="J945" s="6"/>
    </row>
    <row r="946" spans="10:10" ht="15.75" customHeight="1" x14ac:dyDescent="0.2">
      <c r="J946" s="6"/>
    </row>
    <row r="947" spans="10:10" ht="15.75" customHeight="1" x14ac:dyDescent="0.2">
      <c r="J947" s="6"/>
    </row>
    <row r="948" spans="10:10" ht="15.75" customHeight="1" x14ac:dyDescent="0.2">
      <c r="J948" s="6"/>
    </row>
    <row r="949" spans="10:10" ht="15.75" customHeight="1" x14ac:dyDescent="0.2">
      <c r="J949" s="6"/>
    </row>
    <row r="950" spans="10:10" ht="15.75" customHeight="1" x14ac:dyDescent="0.2">
      <c r="J950" s="6"/>
    </row>
    <row r="951" spans="10:10" ht="15.75" customHeight="1" x14ac:dyDescent="0.2">
      <c r="J951" s="6"/>
    </row>
    <row r="952" spans="10:10" ht="15.75" customHeight="1" x14ac:dyDescent="0.2">
      <c r="J952" s="6"/>
    </row>
    <row r="953" spans="10:10" ht="15.75" customHeight="1" x14ac:dyDescent="0.2">
      <c r="J953" s="6"/>
    </row>
    <row r="954" spans="10:10" ht="15.75" customHeight="1" x14ac:dyDescent="0.2">
      <c r="J954" s="6"/>
    </row>
    <row r="955" spans="10:10" ht="15.75" customHeight="1" x14ac:dyDescent="0.2">
      <c r="J955" s="6"/>
    </row>
    <row r="956" spans="10:10" ht="15.75" customHeight="1" x14ac:dyDescent="0.2">
      <c r="J956" s="6"/>
    </row>
    <row r="957" spans="10:10" ht="15.75" customHeight="1" x14ac:dyDescent="0.2">
      <c r="J957" s="6"/>
    </row>
    <row r="958" spans="10:10" ht="15.75" customHeight="1" x14ac:dyDescent="0.2">
      <c r="J958" s="6"/>
    </row>
    <row r="959" spans="10:10" ht="15.75" customHeight="1" x14ac:dyDescent="0.2">
      <c r="J959" s="6"/>
    </row>
    <row r="960" spans="10:10" ht="15.75" customHeight="1" x14ac:dyDescent="0.2">
      <c r="J960" s="6"/>
    </row>
    <row r="961" spans="10:10" ht="15.75" customHeight="1" x14ac:dyDescent="0.2">
      <c r="J961" s="6"/>
    </row>
    <row r="962" spans="10:10" ht="15.75" customHeight="1" x14ac:dyDescent="0.2">
      <c r="J962" s="6"/>
    </row>
    <row r="963" spans="10:10" ht="15.75" customHeight="1" x14ac:dyDescent="0.2">
      <c r="J963" s="6"/>
    </row>
    <row r="964" spans="10:10" ht="15.75" customHeight="1" x14ac:dyDescent="0.2">
      <c r="J964" s="6"/>
    </row>
    <row r="965" spans="10:10" ht="15.75" customHeight="1" x14ac:dyDescent="0.2">
      <c r="J965" s="6"/>
    </row>
    <row r="966" spans="10:10" ht="15.75" customHeight="1" x14ac:dyDescent="0.2">
      <c r="J966" s="6"/>
    </row>
    <row r="967" spans="10:10" ht="15.75" customHeight="1" x14ac:dyDescent="0.2">
      <c r="J967" s="6"/>
    </row>
    <row r="968" spans="10:10" ht="15.75" customHeight="1" x14ac:dyDescent="0.2">
      <c r="J968" s="6"/>
    </row>
    <row r="969" spans="10:10" ht="15.75" customHeight="1" x14ac:dyDescent="0.2">
      <c r="J969" s="6"/>
    </row>
    <row r="970" spans="10:10" ht="15.75" customHeight="1" x14ac:dyDescent="0.2">
      <c r="J970" s="6"/>
    </row>
    <row r="971" spans="10:10" ht="15.75" customHeight="1" x14ac:dyDescent="0.2">
      <c r="J971" s="6"/>
    </row>
    <row r="972" spans="10:10" ht="15.75" customHeight="1" x14ac:dyDescent="0.2">
      <c r="J972" s="6"/>
    </row>
    <row r="973" spans="10:10" ht="15.75" customHeight="1" x14ac:dyDescent="0.2">
      <c r="J973" s="6"/>
    </row>
    <row r="974" spans="10:10" ht="15.75" customHeight="1" x14ac:dyDescent="0.2">
      <c r="J974" s="6"/>
    </row>
    <row r="975" spans="10:10" ht="15.75" customHeight="1" x14ac:dyDescent="0.2">
      <c r="J975" s="6"/>
    </row>
    <row r="976" spans="10:10" ht="15.75" customHeight="1" x14ac:dyDescent="0.2">
      <c r="J976" s="6"/>
    </row>
    <row r="977" spans="10:10" ht="15.75" customHeight="1" x14ac:dyDescent="0.2">
      <c r="J977" s="6"/>
    </row>
    <row r="978" spans="10:10" ht="15.75" customHeight="1" x14ac:dyDescent="0.2">
      <c r="J978" s="6"/>
    </row>
    <row r="979" spans="10:10" ht="15.75" customHeight="1" x14ac:dyDescent="0.2">
      <c r="J979" s="6"/>
    </row>
    <row r="980" spans="10:10" ht="15.75" customHeight="1" x14ac:dyDescent="0.2">
      <c r="J980" s="6"/>
    </row>
    <row r="981" spans="10:10" ht="15.75" customHeight="1" x14ac:dyDescent="0.2">
      <c r="J981" s="6"/>
    </row>
    <row r="982" spans="10:10" ht="15.75" customHeight="1" x14ac:dyDescent="0.2">
      <c r="J982" s="6"/>
    </row>
    <row r="983" spans="10:10" ht="15.75" customHeight="1" x14ac:dyDescent="0.2">
      <c r="J983" s="6"/>
    </row>
    <row r="984" spans="10:10" ht="15.75" customHeight="1" x14ac:dyDescent="0.2">
      <c r="J984" s="6"/>
    </row>
    <row r="985" spans="10:10" ht="15.75" customHeight="1" x14ac:dyDescent="0.2">
      <c r="J985" s="6"/>
    </row>
    <row r="986" spans="10:10" ht="15.75" customHeight="1" x14ac:dyDescent="0.2">
      <c r="J986" s="6"/>
    </row>
    <row r="987" spans="10:10" ht="15.75" customHeight="1" x14ac:dyDescent="0.2">
      <c r="J987" s="6"/>
    </row>
    <row r="988" spans="10:10" ht="15.75" customHeight="1" x14ac:dyDescent="0.2">
      <c r="J988" s="6"/>
    </row>
    <row r="989" spans="10:10" ht="15.75" customHeight="1" x14ac:dyDescent="0.2">
      <c r="J989" s="6"/>
    </row>
    <row r="990" spans="10:10" ht="15.75" customHeight="1" x14ac:dyDescent="0.2">
      <c r="J990" s="6"/>
    </row>
    <row r="991" spans="10:10" ht="15.75" customHeight="1" x14ac:dyDescent="0.2">
      <c r="J991" s="6"/>
    </row>
    <row r="992" spans="10:10" ht="15.75" customHeight="1" x14ac:dyDescent="0.2">
      <c r="J992" s="6"/>
    </row>
    <row r="993" spans="10:10" ht="15.75" customHeight="1" x14ac:dyDescent="0.2">
      <c r="J993" s="6"/>
    </row>
    <row r="994" spans="10:10" ht="15.75" customHeight="1" x14ac:dyDescent="0.2">
      <c r="J994" s="6"/>
    </row>
    <row r="995" spans="10:10" ht="15.75" customHeight="1" x14ac:dyDescent="0.2">
      <c r="J995" s="6"/>
    </row>
    <row r="996" spans="10:10" ht="15.75" customHeight="1" x14ac:dyDescent="0.2">
      <c r="J996" s="6"/>
    </row>
    <row r="997" spans="10:10" ht="15.75" customHeight="1" x14ac:dyDescent="0.2">
      <c r="J997" s="6"/>
    </row>
    <row r="998" spans="10:10" ht="15.75" customHeight="1" x14ac:dyDescent="0.2">
      <c r="J998" s="6"/>
    </row>
    <row r="999" spans="10:10" ht="15.75" customHeight="1" x14ac:dyDescent="0.2">
      <c r="J999" s="6"/>
    </row>
    <row r="1000" spans="10:10" ht="15.75" customHeight="1" x14ac:dyDescent="0.2">
      <c r="J1000" s="6"/>
    </row>
    <row r="1001" spans="10:10" ht="15.75" customHeight="1" x14ac:dyDescent="0.2">
      <c r="J1001" s="6"/>
    </row>
    <row r="1002" spans="10:10" ht="15.75" customHeight="1" x14ac:dyDescent="0.2">
      <c r="J1002" s="6"/>
    </row>
    <row r="1003" spans="10:10" ht="15.75" customHeight="1" x14ac:dyDescent="0.2">
      <c r="J1003" s="6"/>
    </row>
    <row r="1004" spans="10:10" ht="15.75" customHeight="1" x14ac:dyDescent="0.2">
      <c r="J1004" s="6"/>
    </row>
    <row r="1005" spans="10:10" ht="15.75" customHeight="1" x14ac:dyDescent="0.2">
      <c r="J1005" s="6"/>
    </row>
    <row r="1006" spans="10:10" ht="15.75" customHeight="1" x14ac:dyDescent="0.2">
      <c r="J1006" s="6"/>
    </row>
    <row r="1007" spans="10:10" ht="15.75" customHeight="1" x14ac:dyDescent="0.2">
      <c r="J1007" s="6"/>
    </row>
    <row r="1008" spans="10:10" ht="15.75" customHeight="1" x14ac:dyDescent="0.2">
      <c r="J1008" s="6"/>
    </row>
    <row r="1009" spans="10:10" ht="15.75" customHeight="1" x14ac:dyDescent="0.2">
      <c r="J1009" s="6"/>
    </row>
    <row r="1010" spans="10:10" ht="15.75" customHeight="1" x14ac:dyDescent="0.2">
      <c r="J1010" s="6"/>
    </row>
    <row r="1011" spans="10:10" ht="15.75" customHeight="1" x14ac:dyDescent="0.2">
      <c r="J1011" s="6"/>
    </row>
    <row r="1012" spans="10:10" ht="15.75" customHeight="1" x14ac:dyDescent="0.2">
      <c r="J1012" s="6"/>
    </row>
    <row r="1013" spans="10:10" ht="15.75" customHeight="1" x14ac:dyDescent="0.2">
      <c r="J1013" s="6"/>
    </row>
    <row r="1014" spans="10:10" ht="15.75" customHeight="1" x14ac:dyDescent="0.2">
      <c r="J1014" s="6"/>
    </row>
    <row r="1015" spans="10:10" ht="15.75" customHeight="1" x14ac:dyDescent="0.2">
      <c r="J1015" s="6"/>
    </row>
    <row r="1016" spans="10:10" ht="15.75" customHeight="1" x14ac:dyDescent="0.2">
      <c r="J1016" s="6"/>
    </row>
    <row r="1017" spans="10:10" ht="15.75" customHeight="1" x14ac:dyDescent="0.2">
      <c r="J1017" s="6"/>
    </row>
    <row r="1018" spans="10:10" ht="15.75" customHeight="1" x14ac:dyDescent="0.2">
      <c r="J1018" s="6"/>
    </row>
    <row r="1019" spans="10:10" ht="15.75" customHeight="1" x14ac:dyDescent="0.2">
      <c r="J1019" s="6"/>
    </row>
    <row r="1020" spans="10:10" ht="15.75" customHeight="1" x14ac:dyDescent="0.2">
      <c r="J1020" s="6"/>
    </row>
    <row r="1021" spans="10:10" ht="15.75" customHeight="1" x14ac:dyDescent="0.2">
      <c r="J1021" s="6"/>
    </row>
    <row r="1022" spans="10:10" ht="15.75" customHeight="1" x14ac:dyDescent="0.2">
      <c r="J1022" s="6"/>
    </row>
    <row r="1023" spans="10:10" ht="15.75" customHeight="1" x14ac:dyDescent="0.2">
      <c r="J1023" s="6"/>
    </row>
    <row r="1024" spans="10:10" ht="15.75" customHeight="1" x14ac:dyDescent="0.2">
      <c r="J1024" s="6"/>
    </row>
    <row r="1025" spans="10:10" ht="15.75" customHeight="1" x14ac:dyDescent="0.2">
      <c r="J1025" s="6"/>
    </row>
    <row r="1026" spans="10:10" ht="15.75" customHeight="1" x14ac:dyDescent="0.2">
      <c r="J1026" s="6"/>
    </row>
    <row r="1027" spans="10:10" ht="15.75" customHeight="1" x14ac:dyDescent="0.2">
      <c r="J1027" s="6"/>
    </row>
    <row r="1028" spans="10:10" ht="15.75" customHeight="1" x14ac:dyDescent="0.2">
      <c r="J1028" s="6"/>
    </row>
    <row r="1029" spans="10:10" ht="15.75" customHeight="1" x14ac:dyDescent="0.2">
      <c r="J1029" s="6"/>
    </row>
    <row r="1030" spans="10:10" ht="15.75" customHeight="1" x14ac:dyDescent="0.2">
      <c r="J1030" s="6"/>
    </row>
    <row r="1031" spans="10:10" ht="15.75" customHeight="1" x14ac:dyDescent="0.2">
      <c r="J1031" s="6"/>
    </row>
    <row r="1032" spans="10:10" ht="15.75" customHeight="1" x14ac:dyDescent="0.2">
      <c r="J1032" s="6"/>
    </row>
    <row r="1033" spans="10:10" ht="15.75" customHeight="1" x14ac:dyDescent="0.2">
      <c r="J1033" s="6"/>
    </row>
    <row r="1034" spans="10:10" ht="15.75" customHeight="1" x14ac:dyDescent="0.2">
      <c r="J1034" s="6"/>
    </row>
    <row r="1035" spans="10:10" ht="15.75" customHeight="1" x14ac:dyDescent="0.2">
      <c r="J1035" s="6"/>
    </row>
    <row r="1036" spans="10:10" ht="15.75" customHeight="1" x14ac:dyDescent="0.2">
      <c r="J1036" s="6"/>
    </row>
    <row r="1037" spans="10:10" ht="15.75" customHeight="1" x14ac:dyDescent="0.2">
      <c r="J1037" s="6"/>
    </row>
    <row r="1038" spans="10:10" ht="15.75" customHeight="1" x14ac:dyDescent="0.2">
      <c r="J1038" s="6"/>
    </row>
    <row r="1039" spans="10:10" ht="15.75" customHeight="1" x14ac:dyDescent="0.2">
      <c r="J1039" s="6"/>
    </row>
    <row r="1040" spans="10:10" ht="15.75" customHeight="1" x14ac:dyDescent="0.2">
      <c r="J1040" s="6"/>
    </row>
    <row r="1041" spans="10:10" ht="15.75" customHeight="1" x14ac:dyDescent="0.2">
      <c r="J1041" s="6"/>
    </row>
    <row r="1042" spans="10:10" ht="15.75" customHeight="1" x14ac:dyDescent="0.2">
      <c r="J1042" s="6"/>
    </row>
    <row r="1043" spans="10:10" ht="15.75" customHeight="1" x14ac:dyDescent="0.2">
      <c r="J1043" s="6"/>
    </row>
    <row r="1044" spans="10:10" ht="15.75" customHeight="1" x14ac:dyDescent="0.2">
      <c r="J1044" s="6"/>
    </row>
    <row r="1045" spans="10:10" ht="15.75" customHeight="1" x14ac:dyDescent="0.2">
      <c r="J1045" s="6"/>
    </row>
    <row r="1046" spans="10:10" ht="15.75" customHeight="1" x14ac:dyDescent="0.2">
      <c r="J1046" s="6"/>
    </row>
    <row r="1047" spans="10:10" ht="15.75" customHeight="1" x14ac:dyDescent="0.2">
      <c r="J1047" s="6"/>
    </row>
    <row r="1048" spans="10:10" ht="15.75" customHeight="1" x14ac:dyDescent="0.2">
      <c r="J1048" s="6"/>
    </row>
    <row r="1049" spans="10:10" ht="15.75" customHeight="1" x14ac:dyDescent="0.2">
      <c r="J1049" s="6"/>
    </row>
    <row r="1050" spans="10:10" ht="15.75" customHeight="1" x14ac:dyDescent="0.2">
      <c r="J1050" s="6"/>
    </row>
    <row r="1051" spans="10:10" ht="15.75" customHeight="1" x14ac:dyDescent="0.2">
      <c r="J1051" s="6"/>
    </row>
    <row r="1052" spans="10:10" ht="15.75" customHeight="1" x14ac:dyDescent="0.2">
      <c r="J1052" s="6"/>
    </row>
    <row r="1053" spans="10:10" ht="15.75" customHeight="1" x14ac:dyDescent="0.2">
      <c r="J1053" s="6"/>
    </row>
    <row r="1054" spans="10:10" ht="15.75" customHeight="1" x14ac:dyDescent="0.2">
      <c r="J1054" s="6"/>
    </row>
  </sheetData>
  <pageMargins left="0.7" right="0.7" top="0.75" bottom="0.75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0E27-0CC8-F94B-9BEA-4B19671A0477}">
  <sheetPr>
    <tabColor theme="9"/>
  </sheetPr>
  <dimension ref="A1:N1054"/>
  <sheetViews>
    <sheetView showGridLines="0" zoomScale="90" zoomScaleNormal="90" workbookViewId="0">
      <pane xSplit="2" ySplit="1" topLeftCell="C108" activePane="bottomRight" state="frozen"/>
      <selection pane="topRight" activeCell="C1" sqref="C1"/>
      <selection pane="bottomLeft" activeCell="A3" sqref="A3"/>
      <selection pane="bottomRight" activeCell="N110" sqref="N110"/>
    </sheetView>
  </sheetViews>
  <sheetFormatPr baseColWidth="10" defaultColWidth="14.42578125" defaultRowHeight="15" customHeight="1" outlineLevelRow="1" x14ac:dyDescent="0.2"/>
  <cols>
    <col min="1" max="1" width="5" style="6" customWidth="1"/>
    <col min="2" max="2" width="24.28515625" style="6" customWidth="1"/>
    <col min="3" max="3" width="15.28515625" style="6" customWidth="1"/>
    <col min="4" max="7" width="14.28515625" style="6" customWidth="1"/>
    <col min="8" max="8" width="15.28515625" style="6" customWidth="1"/>
    <col min="9" max="9" width="14.42578125" style="6" customWidth="1"/>
    <col min="10" max="10" width="13.42578125" style="97" customWidth="1"/>
    <col min="11" max="11" width="15.42578125" style="6" customWidth="1"/>
    <col min="12" max="16384" width="14.42578125" style="6"/>
  </cols>
  <sheetData>
    <row r="1" spans="1:11" x14ac:dyDescent="0.25">
      <c r="I1" s="65"/>
      <c r="J1" s="95"/>
      <c r="K1" s="46"/>
    </row>
    <row r="2" spans="1:11" x14ac:dyDescent="0.25">
      <c r="I2" s="65"/>
      <c r="J2" s="95"/>
      <c r="K2" s="46"/>
    </row>
    <row r="3" spans="1:11" x14ac:dyDescent="0.25">
      <c r="A3" s="14"/>
      <c r="B3" s="21"/>
      <c r="C3" s="20"/>
      <c r="D3" s="20" t="s">
        <v>33</v>
      </c>
      <c r="E3" s="20" t="s">
        <v>32</v>
      </c>
      <c r="F3" s="20" t="s">
        <v>31</v>
      </c>
      <c r="G3" s="20" t="s">
        <v>30</v>
      </c>
      <c r="H3" s="20" t="s">
        <v>29</v>
      </c>
      <c r="I3" s="20" t="s">
        <v>35</v>
      </c>
      <c r="J3" s="96"/>
      <c r="K3" s="14"/>
    </row>
    <row r="4" spans="1:11" x14ac:dyDescent="0.25">
      <c r="A4" s="14"/>
      <c r="B4" s="28" t="s">
        <v>128</v>
      </c>
      <c r="C4" s="4">
        <v>27600</v>
      </c>
      <c r="D4" s="23"/>
      <c r="E4" s="23"/>
      <c r="F4" s="23"/>
      <c r="G4" s="23"/>
      <c r="H4" s="23"/>
      <c r="I4" s="15"/>
      <c r="J4" s="30"/>
      <c r="K4" s="14"/>
    </row>
    <row r="5" spans="1:11" x14ac:dyDescent="0.25">
      <c r="A5" s="14"/>
      <c r="B5" s="28" t="s">
        <v>46</v>
      </c>
      <c r="D5" s="44">
        <v>2000</v>
      </c>
      <c r="E5" s="44">
        <v>4000</v>
      </c>
      <c r="F5" s="44">
        <v>5000</v>
      </c>
      <c r="G5" s="44">
        <v>6900</v>
      </c>
      <c r="H5" s="44">
        <f>+C4-(D5+E5+F5+G5)</f>
        <v>9700</v>
      </c>
      <c r="I5" s="44">
        <f>SUM(D5:H5)</f>
        <v>27600</v>
      </c>
      <c r="J5" s="30"/>
      <c r="K5" s="14"/>
    </row>
    <row r="6" spans="1:11" x14ac:dyDescent="0.25">
      <c r="A6" s="14"/>
      <c r="B6" s="28" t="s">
        <v>68</v>
      </c>
      <c r="E6" s="47">
        <f>+E5/D5-1</f>
        <v>1</v>
      </c>
      <c r="F6" s="47">
        <f>+F5/E5-1</f>
        <v>0.25</v>
      </c>
      <c r="G6" s="47">
        <f>+G5/F5-1</f>
        <v>0.37999999999999989</v>
      </c>
      <c r="H6" s="47">
        <f>+H5/G5-1</f>
        <v>0.40579710144927539</v>
      </c>
      <c r="I6" s="15"/>
      <c r="J6" s="30"/>
      <c r="K6" s="27"/>
    </row>
    <row r="7" spans="1:11" x14ac:dyDescent="0.25">
      <c r="A7" s="14"/>
      <c r="B7" s="28" t="s">
        <v>69</v>
      </c>
      <c r="C7" s="50"/>
      <c r="D7" s="52">
        <f>+D5/(12*4*5)</f>
        <v>8.3333333333333339</v>
      </c>
      <c r="E7" s="52">
        <f>+E5/(12*4*5)</f>
        <v>16.666666666666668</v>
      </c>
      <c r="F7" s="52">
        <f>+F5/(12*4*5)</f>
        <v>20.833333333333332</v>
      </c>
      <c r="G7" s="52">
        <f>+G5/(12*4*5)</f>
        <v>28.75</v>
      </c>
      <c r="H7" s="52">
        <f>+H5/(12*4*5)</f>
        <v>40.416666666666664</v>
      </c>
      <c r="I7" s="15"/>
      <c r="J7" s="30"/>
      <c r="K7" s="27"/>
    </row>
    <row r="8" spans="1:11" x14ac:dyDescent="0.25">
      <c r="A8" s="14"/>
      <c r="B8" s="28"/>
      <c r="C8" s="15"/>
      <c r="D8" s="44"/>
      <c r="E8" s="44"/>
      <c r="F8" s="44"/>
      <c r="G8" s="44"/>
      <c r="H8" s="44"/>
      <c r="I8" s="15"/>
      <c r="J8" s="30"/>
      <c r="K8" s="27"/>
    </row>
    <row r="9" spans="1:11" x14ac:dyDescent="0.25">
      <c r="A9" s="14"/>
      <c r="B9" s="28" t="s">
        <v>70</v>
      </c>
      <c r="C9" s="15"/>
      <c r="D9" s="44"/>
      <c r="E9" s="44"/>
      <c r="F9" s="44"/>
      <c r="G9" s="44"/>
      <c r="H9" s="44"/>
      <c r="I9" s="28"/>
      <c r="J9" s="30"/>
      <c r="K9" s="27"/>
    </row>
    <row r="10" spans="1:11" x14ac:dyDescent="0.25">
      <c r="A10" s="14"/>
      <c r="B10" s="28" t="s">
        <v>3</v>
      </c>
      <c r="C10" s="57">
        <f>Inputs!C16</f>
        <v>27.03125</v>
      </c>
      <c r="D10" s="57">
        <f>C10</f>
        <v>27.03125</v>
      </c>
      <c r="E10" s="57">
        <f t="shared" ref="E10:H11" si="0">D10</f>
        <v>27.03125</v>
      </c>
      <c r="F10" s="57">
        <f t="shared" si="0"/>
        <v>27.03125</v>
      </c>
      <c r="G10" s="57">
        <f t="shared" si="0"/>
        <v>27.03125</v>
      </c>
      <c r="H10" s="57">
        <f t="shared" si="0"/>
        <v>27.03125</v>
      </c>
      <c r="I10" s="28"/>
      <c r="J10" s="30"/>
      <c r="K10" s="27"/>
    </row>
    <row r="11" spans="1:11" x14ac:dyDescent="0.25">
      <c r="A11" s="14"/>
      <c r="B11" s="28" t="s">
        <v>2</v>
      </c>
      <c r="C11" s="57">
        <f>Inputs!D16</f>
        <v>30.437500000000004</v>
      </c>
      <c r="D11" s="57">
        <f>C11</f>
        <v>30.437500000000004</v>
      </c>
      <c r="E11" s="57">
        <f t="shared" si="0"/>
        <v>30.437500000000004</v>
      </c>
      <c r="F11" s="57">
        <f t="shared" si="0"/>
        <v>30.437500000000004</v>
      </c>
      <c r="G11" s="57">
        <f t="shared" si="0"/>
        <v>30.437500000000004</v>
      </c>
      <c r="H11" s="57">
        <f t="shared" si="0"/>
        <v>30.437500000000004</v>
      </c>
      <c r="I11" s="28"/>
      <c r="J11" s="30"/>
      <c r="K11" s="27"/>
    </row>
    <row r="12" spans="1:11" x14ac:dyDescent="0.25">
      <c r="A12" s="14"/>
      <c r="B12" s="28"/>
      <c r="C12" s="15"/>
      <c r="D12" s="44"/>
      <c r="E12" s="44"/>
      <c r="F12" s="44"/>
      <c r="G12" s="44"/>
      <c r="H12" s="44"/>
      <c r="I12" s="28"/>
      <c r="J12" s="30"/>
      <c r="K12" s="27"/>
    </row>
    <row r="13" spans="1:11" x14ac:dyDescent="0.25">
      <c r="A13" s="14"/>
      <c r="B13" s="28" t="s">
        <v>47</v>
      </c>
      <c r="C13" s="15"/>
      <c r="D13" s="44"/>
      <c r="E13" s="44"/>
      <c r="F13" s="44"/>
      <c r="G13" s="44"/>
      <c r="H13" s="44"/>
      <c r="I13" s="28"/>
      <c r="J13" s="30"/>
      <c r="K13" s="27"/>
    </row>
    <row r="14" spans="1:11" x14ac:dyDescent="0.25">
      <c r="A14" s="14"/>
      <c r="B14" s="28" t="s">
        <v>3</v>
      </c>
      <c r="C14" s="50">
        <f>Inputs!C19</f>
        <v>109.00000000000001</v>
      </c>
      <c r="D14" s="52">
        <f>C14</f>
        <v>109.00000000000001</v>
      </c>
      <c r="E14" s="52">
        <f t="shared" ref="E14:H15" si="1">D14</f>
        <v>109.00000000000001</v>
      </c>
      <c r="F14" s="52">
        <f t="shared" si="1"/>
        <v>109.00000000000001</v>
      </c>
      <c r="G14" s="52">
        <f t="shared" si="1"/>
        <v>109.00000000000001</v>
      </c>
      <c r="H14" s="52">
        <f t="shared" si="1"/>
        <v>109.00000000000001</v>
      </c>
      <c r="I14" s="28"/>
      <c r="K14" s="27"/>
    </row>
    <row r="15" spans="1:11" x14ac:dyDescent="0.25">
      <c r="A15" s="14"/>
      <c r="B15" s="28" t="s">
        <v>2</v>
      </c>
      <c r="C15" s="50">
        <f>180*1.09</f>
        <v>196.20000000000002</v>
      </c>
      <c r="D15" s="52">
        <f>C15</f>
        <v>196.20000000000002</v>
      </c>
      <c r="E15" s="52">
        <f t="shared" si="1"/>
        <v>196.20000000000002</v>
      </c>
      <c r="F15" s="52">
        <f t="shared" si="1"/>
        <v>196.20000000000002</v>
      </c>
      <c r="G15" s="52">
        <f t="shared" si="1"/>
        <v>196.20000000000002</v>
      </c>
      <c r="H15" s="52">
        <f t="shared" si="1"/>
        <v>196.20000000000002</v>
      </c>
      <c r="I15" s="28"/>
      <c r="J15" s="30"/>
      <c r="K15" s="27"/>
    </row>
    <row r="16" spans="1:11" x14ac:dyDescent="0.25">
      <c r="A16" s="14"/>
      <c r="B16" s="28"/>
      <c r="C16" s="15"/>
      <c r="D16" s="44"/>
      <c r="E16" s="44"/>
      <c r="F16" s="44"/>
      <c r="G16" s="44"/>
      <c r="H16" s="44"/>
      <c r="I16" s="28"/>
      <c r="J16" s="30"/>
      <c r="K16" s="27"/>
    </row>
    <row r="17" spans="1:11" x14ac:dyDescent="0.25">
      <c r="A17" s="14"/>
      <c r="B17" s="45" t="s">
        <v>45</v>
      </c>
      <c r="C17" s="15"/>
      <c r="D17" s="44"/>
      <c r="E17" s="44"/>
      <c r="F17" s="44"/>
      <c r="G17" s="44"/>
      <c r="H17" s="44"/>
      <c r="I17" s="28"/>
      <c r="J17" s="30"/>
      <c r="K17" s="27"/>
    </row>
    <row r="18" spans="1:11" x14ac:dyDescent="0.25">
      <c r="A18" s="14"/>
      <c r="B18" s="28" t="s">
        <v>3</v>
      </c>
      <c r="C18" s="51">
        <f>Inputs!C21</f>
        <v>0.75200688073394495</v>
      </c>
      <c r="D18" s="53">
        <f>C18</f>
        <v>0.75200688073394495</v>
      </c>
      <c r="E18" s="53">
        <f t="shared" ref="E18:H19" si="2">D18</f>
        <v>0.75200688073394495</v>
      </c>
      <c r="F18" s="53">
        <f t="shared" si="2"/>
        <v>0.75200688073394495</v>
      </c>
      <c r="G18" s="53">
        <f t="shared" si="2"/>
        <v>0.75200688073394495</v>
      </c>
      <c r="H18" s="53">
        <f t="shared" si="2"/>
        <v>0.75200688073394495</v>
      </c>
      <c r="I18" s="28"/>
      <c r="J18" s="30"/>
      <c r="K18" s="27"/>
    </row>
    <row r="19" spans="1:11" x14ac:dyDescent="0.25">
      <c r="A19" s="14"/>
      <c r="B19" s="28" t="s">
        <v>2</v>
      </c>
      <c r="C19" s="51">
        <f>Inputs!D21</f>
        <v>0.84486493374108051</v>
      </c>
      <c r="D19" s="53">
        <f>C19</f>
        <v>0.84486493374108051</v>
      </c>
      <c r="E19" s="53">
        <f t="shared" si="2"/>
        <v>0.84486493374108051</v>
      </c>
      <c r="F19" s="53">
        <f t="shared" si="2"/>
        <v>0.84486493374108051</v>
      </c>
      <c r="G19" s="53">
        <f t="shared" si="2"/>
        <v>0.84486493374108051</v>
      </c>
      <c r="H19" s="53">
        <f t="shared" si="2"/>
        <v>0.84486493374108051</v>
      </c>
      <c r="I19" s="28"/>
      <c r="J19" s="30"/>
      <c r="K19" s="27"/>
    </row>
    <row r="20" spans="1:11" x14ac:dyDescent="0.25">
      <c r="A20" s="14"/>
      <c r="B20" s="28"/>
      <c r="C20" s="15"/>
      <c r="D20" s="44"/>
      <c r="E20" s="44"/>
      <c r="F20" s="44"/>
      <c r="G20" s="44"/>
      <c r="H20" s="44"/>
      <c r="I20" s="28"/>
      <c r="J20" s="30" t="s">
        <v>72</v>
      </c>
      <c r="K20" s="27"/>
    </row>
    <row r="21" spans="1:11" x14ac:dyDescent="0.25">
      <c r="A21" s="14"/>
      <c r="B21" s="28" t="s">
        <v>73</v>
      </c>
      <c r="C21" s="62"/>
      <c r="D21" s="62">
        <v>0.3</v>
      </c>
      <c r="E21" s="62">
        <v>0.4</v>
      </c>
      <c r="F21" s="62">
        <v>0.5</v>
      </c>
      <c r="G21" s="62">
        <v>0.55000000000000004</v>
      </c>
      <c r="H21" s="62">
        <v>0.6</v>
      </c>
      <c r="I21" s="28"/>
      <c r="J21" s="30" t="s">
        <v>71</v>
      </c>
      <c r="K21" s="27"/>
    </row>
    <row r="22" spans="1:11" x14ac:dyDescent="0.25">
      <c r="A22" s="14"/>
      <c r="B22" s="28" t="s">
        <v>130</v>
      </c>
      <c r="C22" s="63"/>
      <c r="D22" s="64">
        <v>0.15</v>
      </c>
      <c r="E22" s="64">
        <f t="shared" ref="E22:H23" si="3">D22</f>
        <v>0.15</v>
      </c>
      <c r="F22" s="64">
        <f t="shared" si="3"/>
        <v>0.15</v>
      </c>
      <c r="G22" s="64">
        <f t="shared" si="3"/>
        <v>0.15</v>
      </c>
      <c r="H22" s="64">
        <f t="shared" si="3"/>
        <v>0.15</v>
      </c>
      <c r="I22" s="28"/>
      <c r="J22" s="30"/>
      <c r="K22" s="27"/>
    </row>
    <row r="23" spans="1:11" x14ac:dyDescent="0.25">
      <c r="A23" s="14"/>
      <c r="B23" s="28" t="s">
        <v>74</v>
      </c>
      <c r="C23" s="63"/>
      <c r="D23" s="64">
        <v>0.15</v>
      </c>
      <c r="E23" s="64">
        <f t="shared" si="3"/>
        <v>0.15</v>
      </c>
      <c r="F23" s="64">
        <f t="shared" si="3"/>
        <v>0.15</v>
      </c>
      <c r="G23" s="64">
        <f t="shared" si="3"/>
        <v>0.15</v>
      </c>
      <c r="H23" s="64">
        <f t="shared" si="3"/>
        <v>0.15</v>
      </c>
      <c r="I23" s="28"/>
      <c r="J23" s="30"/>
      <c r="K23" s="27"/>
    </row>
    <row r="24" spans="1:1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30"/>
      <c r="K24" s="14"/>
    </row>
    <row r="25" spans="1:11" x14ac:dyDescent="0.25">
      <c r="A25" s="14"/>
      <c r="B25" s="21"/>
      <c r="C25" s="20" t="s">
        <v>44</v>
      </c>
      <c r="D25" s="20" t="s">
        <v>33</v>
      </c>
      <c r="E25" s="20" t="s">
        <v>32</v>
      </c>
      <c r="F25" s="20" t="s">
        <v>31</v>
      </c>
      <c r="G25" s="20" t="s">
        <v>30</v>
      </c>
      <c r="H25" s="20" t="s">
        <v>29</v>
      </c>
      <c r="I25" s="20" t="s">
        <v>138</v>
      </c>
      <c r="J25" s="30"/>
      <c r="K25" s="14"/>
    </row>
    <row r="26" spans="1:11" x14ac:dyDescent="0.25">
      <c r="A26" s="14"/>
      <c r="B26" s="15"/>
      <c r="C26" s="23"/>
      <c r="D26" s="34"/>
      <c r="E26" s="34"/>
      <c r="F26" s="34"/>
      <c r="G26" s="34"/>
      <c r="H26" s="34"/>
      <c r="I26" s="34"/>
      <c r="J26" s="30"/>
      <c r="K26" s="14"/>
    </row>
    <row r="27" spans="1:11" x14ac:dyDescent="0.25">
      <c r="A27" s="15"/>
      <c r="B27" s="21" t="s">
        <v>43</v>
      </c>
      <c r="C27" s="20"/>
      <c r="D27" s="39">
        <f>+D28+D31</f>
        <v>313702</v>
      </c>
      <c r="E27" s="39">
        <f t="shared" ref="E27:H27" si="4">+E28+E31</f>
        <v>633072</v>
      </c>
      <c r="F27" s="39">
        <f t="shared" si="4"/>
        <v>798425</v>
      </c>
      <c r="G27" s="39">
        <f t="shared" si="4"/>
        <v>1106715.1500000001</v>
      </c>
      <c r="H27" s="39">
        <f t="shared" si="4"/>
        <v>1562689.4000000001</v>
      </c>
      <c r="I27" s="39">
        <f>SUM(D27:H27)</f>
        <v>4414603.5500000007</v>
      </c>
      <c r="J27" s="28"/>
      <c r="K27" s="15"/>
    </row>
    <row r="28" spans="1:11" x14ac:dyDescent="0.25">
      <c r="A28" s="14"/>
      <c r="B28" s="26" t="s">
        <v>53</v>
      </c>
      <c r="C28" s="42"/>
      <c r="D28" s="25">
        <f>SUM(D29:D30)</f>
        <v>126331.00000000001</v>
      </c>
      <c r="E28" s="25">
        <f>SUM(E29:E30)</f>
        <v>264216</v>
      </c>
      <c r="F28" s="25">
        <f t="shared" ref="F28:H28" si="5">SUM(F29:F30)</f>
        <v>344712.5</v>
      </c>
      <c r="G28" s="25">
        <f t="shared" si="5"/>
        <v>485668.57500000007</v>
      </c>
      <c r="H28" s="25">
        <f t="shared" si="5"/>
        <v>696760.70000000007</v>
      </c>
      <c r="I28" s="25">
        <f t="shared" ref="I28:I33" si="6">SUM(D28:H28)</f>
        <v>1917688.7750000004</v>
      </c>
      <c r="J28" s="30"/>
      <c r="K28" s="14"/>
    </row>
    <row r="29" spans="1:11" x14ac:dyDescent="0.25">
      <c r="A29" s="14"/>
      <c r="B29" s="54" t="s">
        <v>55</v>
      </c>
      <c r="C29" s="42"/>
      <c r="D29" s="81">
        <f>D5*0.5*(1-D21)*D14</f>
        <v>76300.000000000015</v>
      </c>
      <c r="E29" s="81">
        <f>E5*0.5*(1-E21)*E14</f>
        <v>130800.00000000001</v>
      </c>
      <c r="F29" s="81">
        <f>F5*0.5*(1-F21)*F14</f>
        <v>136250.00000000003</v>
      </c>
      <c r="G29" s="81">
        <f t="shared" ref="G29:H29" si="7">G5*0.5*(1-G21)*G14</f>
        <v>169222.5</v>
      </c>
      <c r="H29" s="81">
        <f t="shared" si="7"/>
        <v>211460.00000000003</v>
      </c>
      <c r="I29" s="25">
        <f t="shared" si="6"/>
        <v>724032.50000000012</v>
      </c>
      <c r="J29" s="30"/>
      <c r="K29" s="14"/>
    </row>
    <row r="30" spans="1:11" x14ac:dyDescent="0.25">
      <c r="A30" s="14"/>
      <c r="B30" s="54" t="s">
        <v>54</v>
      </c>
      <c r="C30" s="42"/>
      <c r="D30" s="81">
        <f>D5*0.5*D21*(0.85*D15)</f>
        <v>50031</v>
      </c>
      <c r="E30" s="81">
        <f>E5*0.5*E21*(0.85*E15)</f>
        <v>133416</v>
      </c>
      <c r="F30" s="81">
        <f t="shared" ref="F30:H30" si="8">F5*0.5*F21*(0.85*F15)</f>
        <v>208462.5</v>
      </c>
      <c r="G30" s="81">
        <f t="shared" si="8"/>
        <v>316446.07500000007</v>
      </c>
      <c r="H30" s="81">
        <f t="shared" si="8"/>
        <v>485300.7</v>
      </c>
      <c r="I30" s="25">
        <f t="shared" si="6"/>
        <v>1193656.2750000001</v>
      </c>
      <c r="J30" s="30"/>
      <c r="K30" s="14"/>
    </row>
    <row r="31" spans="1:11" x14ac:dyDescent="0.25">
      <c r="A31" s="14"/>
      <c r="B31" s="26" t="s">
        <v>2</v>
      </c>
      <c r="C31" s="42"/>
      <c r="D31" s="25">
        <f>SUM(D32:D33)</f>
        <v>187371</v>
      </c>
      <c r="E31" s="25">
        <f t="shared" ref="E31:H31" si="9">SUM(E32:E33)</f>
        <v>368856</v>
      </c>
      <c r="F31" s="25">
        <f t="shared" si="9"/>
        <v>453712.5</v>
      </c>
      <c r="G31" s="25">
        <f t="shared" si="9"/>
        <v>621046.57500000007</v>
      </c>
      <c r="H31" s="25">
        <f t="shared" si="9"/>
        <v>865928.70000000007</v>
      </c>
      <c r="I31" s="25">
        <f t="shared" si="6"/>
        <v>2496914.7750000004</v>
      </c>
      <c r="J31" s="30"/>
      <c r="K31" s="14"/>
    </row>
    <row r="32" spans="1:11" x14ac:dyDescent="0.25">
      <c r="A32" s="14"/>
      <c r="B32" s="54" t="s">
        <v>55</v>
      </c>
      <c r="C32" s="42"/>
      <c r="D32" s="81">
        <f>D5*0.5*(1-D21)*D15</f>
        <v>137340</v>
      </c>
      <c r="E32" s="81">
        <f t="shared" ref="E32:H32" si="10">E5*0.5*(1-E21)*E15</f>
        <v>235440.00000000003</v>
      </c>
      <c r="F32" s="81">
        <f t="shared" si="10"/>
        <v>245250.00000000003</v>
      </c>
      <c r="G32" s="81">
        <f t="shared" si="10"/>
        <v>304600.5</v>
      </c>
      <c r="H32" s="81">
        <f t="shared" si="10"/>
        <v>380628.00000000006</v>
      </c>
      <c r="I32" s="25">
        <f t="shared" si="6"/>
        <v>1303258.5</v>
      </c>
      <c r="J32" s="30"/>
      <c r="K32" s="14"/>
    </row>
    <row r="33" spans="1:14" x14ac:dyDescent="0.25">
      <c r="A33" s="14"/>
      <c r="B33" s="54" t="s">
        <v>54</v>
      </c>
      <c r="C33" s="42"/>
      <c r="D33" s="81">
        <f>D5*0.5*D21*(D15*0.85)</f>
        <v>50031</v>
      </c>
      <c r="E33" s="81">
        <f t="shared" ref="E33:H33" si="11">E5*0.5*E21*(E15*0.85)</f>
        <v>133416</v>
      </c>
      <c r="F33" s="81">
        <f t="shared" si="11"/>
        <v>208462.5</v>
      </c>
      <c r="G33" s="81">
        <f t="shared" si="11"/>
        <v>316446.07500000007</v>
      </c>
      <c r="H33" s="81">
        <f t="shared" si="11"/>
        <v>485300.7</v>
      </c>
      <c r="I33" s="25">
        <f t="shared" si="6"/>
        <v>1193656.2750000001</v>
      </c>
      <c r="J33" s="30"/>
      <c r="K33" s="14"/>
    </row>
    <row r="34" spans="1:14" x14ac:dyDescent="0.25">
      <c r="A34" s="14"/>
      <c r="B34" s="30"/>
      <c r="C34" s="15"/>
      <c r="D34" s="43"/>
      <c r="E34" s="43"/>
      <c r="F34" s="43"/>
      <c r="G34" s="43"/>
      <c r="H34" s="43"/>
      <c r="I34" s="43"/>
      <c r="J34" s="30"/>
      <c r="K34" s="14"/>
    </row>
    <row r="35" spans="1:14" x14ac:dyDescent="0.25">
      <c r="A35" s="15"/>
      <c r="B35" s="21" t="s">
        <v>42</v>
      </c>
      <c r="C35" s="39"/>
      <c r="D35" s="39">
        <f>SUM(D36:D37)</f>
        <v>57468.75</v>
      </c>
      <c r="E35" s="39">
        <f>SUM(E36:E37)</f>
        <v>114937.5</v>
      </c>
      <c r="F35" s="39">
        <f>SUM(F36:F37)</f>
        <v>143671.875</v>
      </c>
      <c r="G35" s="39">
        <f>SUM(G36:G37)</f>
        <v>198267.1875</v>
      </c>
      <c r="H35" s="39">
        <f>SUM(H36:H37)</f>
        <v>278723.4375</v>
      </c>
      <c r="I35" s="39">
        <f>SUM(D35:H35)</f>
        <v>793068.75</v>
      </c>
      <c r="J35" s="28"/>
      <c r="K35" s="15"/>
    </row>
    <row r="36" spans="1:14" x14ac:dyDescent="0.25">
      <c r="A36" s="14"/>
      <c r="B36" s="26" t="s">
        <v>3</v>
      </c>
      <c r="C36" s="24"/>
      <c r="D36" s="81">
        <f>+D$5*0.5*D$10</f>
        <v>27031.25</v>
      </c>
      <c r="E36" s="81">
        <f t="shared" ref="E36:H36" si="12">+E$5*0.5*E$10</f>
        <v>54062.5</v>
      </c>
      <c r="F36" s="81">
        <f t="shared" si="12"/>
        <v>67578.125</v>
      </c>
      <c r="G36" s="81">
        <f t="shared" si="12"/>
        <v>93257.8125</v>
      </c>
      <c r="H36" s="81">
        <f t="shared" si="12"/>
        <v>131101.5625</v>
      </c>
      <c r="I36" s="81">
        <f>SUM(D36:H36)</f>
        <v>373031.25</v>
      </c>
      <c r="J36" s="30"/>
      <c r="K36" s="14"/>
    </row>
    <row r="37" spans="1:14" x14ac:dyDescent="0.25">
      <c r="A37" s="14"/>
      <c r="B37" s="26" t="s">
        <v>2</v>
      </c>
      <c r="C37" s="42"/>
      <c r="D37" s="81">
        <f>+D$5*0.5*D$11</f>
        <v>30437.500000000004</v>
      </c>
      <c r="E37" s="81">
        <f t="shared" ref="E37:H37" si="13">+E$5*0.5*E$11</f>
        <v>60875.000000000007</v>
      </c>
      <c r="F37" s="81">
        <f t="shared" si="13"/>
        <v>76093.750000000015</v>
      </c>
      <c r="G37" s="81">
        <f t="shared" si="13"/>
        <v>105009.37500000001</v>
      </c>
      <c r="H37" s="81">
        <f t="shared" si="13"/>
        <v>147621.87500000003</v>
      </c>
      <c r="I37" s="81">
        <f>SUM(D37:H37)</f>
        <v>420037.50000000012</v>
      </c>
      <c r="J37" s="30"/>
      <c r="K37" s="14"/>
    </row>
    <row r="38" spans="1:14" ht="15.75" customHeight="1" x14ac:dyDescent="0.25">
      <c r="A38" s="14"/>
      <c r="B38" s="30"/>
      <c r="C38" s="15"/>
      <c r="D38" s="41"/>
      <c r="E38" s="41"/>
      <c r="F38" s="41"/>
      <c r="G38" s="41"/>
      <c r="H38" s="41"/>
      <c r="I38" s="29"/>
      <c r="J38" s="30"/>
      <c r="K38" s="14"/>
    </row>
    <row r="39" spans="1:14" ht="15.75" customHeight="1" x14ac:dyDescent="0.25">
      <c r="A39" s="15"/>
      <c r="B39" s="21" t="s">
        <v>41</v>
      </c>
      <c r="C39" s="39"/>
      <c r="D39" s="39">
        <f>D27-D35</f>
        <v>256233.25</v>
      </c>
      <c r="E39" s="39">
        <f>E27-E35</f>
        <v>518134.5</v>
      </c>
      <c r="F39" s="39">
        <f>F27-F35</f>
        <v>654753.125</v>
      </c>
      <c r="G39" s="39">
        <f>G27-G35</f>
        <v>908447.96250000014</v>
      </c>
      <c r="H39" s="39">
        <f>H27-H35</f>
        <v>1283965.9625000001</v>
      </c>
      <c r="I39" s="39">
        <f>SUM(D39:H39)</f>
        <v>3621534.8000000007</v>
      </c>
      <c r="J39" s="28"/>
      <c r="K39" s="15"/>
    </row>
    <row r="40" spans="1:14" s="94" customFormat="1" ht="15.75" customHeight="1" x14ac:dyDescent="0.25">
      <c r="A40" s="77"/>
      <c r="B40" s="92" t="s">
        <v>140</v>
      </c>
      <c r="C40" s="79"/>
      <c r="D40" s="93">
        <f>+(D28-D36)/D28</f>
        <v>0.78602836991712255</v>
      </c>
      <c r="E40" s="93">
        <f>+(E28-E36)/E28</f>
        <v>0.79538521512701732</v>
      </c>
      <c r="F40" s="93">
        <f>+(F28-F36)/F28</f>
        <v>0.80395800848533194</v>
      </c>
      <c r="G40" s="93">
        <f>+(G28-G36)/G28</f>
        <v>0.8079805503166434</v>
      </c>
      <c r="H40" s="93">
        <f>+(H28-H36)/H28</f>
        <v>0.81184133591346352</v>
      </c>
      <c r="I40" s="124"/>
      <c r="J40" s="126"/>
      <c r="K40" s="77"/>
    </row>
    <row r="41" spans="1:14" s="94" customFormat="1" ht="15.75" customHeight="1" x14ac:dyDescent="0.25">
      <c r="A41" s="77"/>
      <c r="B41" s="92" t="s">
        <v>141</v>
      </c>
      <c r="C41" s="79"/>
      <c r="D41" s="93">
        <f>+(D31-D37)/D31</f>
        <v>0.83755490444092207</v>
      </c>
      <c r="E41" s="93">
        <f>+(E31-E37)/E31</f>
        <v>0.83496269546923463</v>
      </c>
      <c r="F41" s="93">
        <f>+(F31-F37)/F31</f>
        <v>0.83228641485522215</v>
      </c>
      <c r="G41" s="93">
        <f>+(G31-G37)/G31</f>
        <v>0.83091545911834397</v>
      </c>
      <c r="H41" s="93">
        <f>+(H31-H37)/H31</f>
        <v>0.82952190520997859</v>
      </c>
      <c r="I41" s="124"/>
      <c r="J41" s="126"/>
      <c r="K41" s="77"/>
    </row>
    <row r="42" spans="1:14" s="65" customFormat="1" ht="15.75" customHeight="1" x14ac:dyDescent="0.25">
      <c r="A42" s="77"/>
      <c r="B42" s="78"/>
      <c r="C42" s="79"/>
      <c r="D42" s="80"/>
      <c r="E42" s="80"/>
      <c r="F42" s="80"/>
      <c r="G42" s="80"/>
      <c r="H42" s="80"/>
      <c r="I42" s="125"/>
      <c r="J42" s="126"/>
      <c r="K42" s="77"/>
    </row>
    <row r="43" spans="1:14" s="65" customFormat="1" ht="15.75" customHeight="1" x14ac:dyDescent="0.25">
      <c r="A43" s="77"/>
      <c r="B43" s="21"/>
      <c r="C43" s="20" t="s">
        <v>44</v>
      </c>
      <c r="D43" s="20" t="s">
        <v>33</v>
      </c>
      <c r="E43" s="20" t="s">
        <v>32</v>
      </c>
      <c r="F43" s="20" t="s">
        <v>31</v>
      </c>
      <c r="G43" s="20" t="s">
        <v>30</v>
      </c>
      <c r="H43" s="20" t="s">
        <v>29</v>
      </c>
      <c r="I43" s="20" t="s">
        <v>138</v>
      </c>
      <c r="J43" s="98"/>
      <c r="K43" s="15" t="s">
        <v>133</v>
      </c>
      <c r="L43" s="83" t="s">
        <v>134</v>
      </c>
      <c r="M43" s="83" t="s">
        <v>135</v>
      </c>
      <c r="N43" s="83" t="s">
        <v>136</v>
      </c>
    </row>
    <row r="44" spans="1:14" ht="15.75" customHeight="1" x14ac:dyDescent="0.25">
      <c r="A44" s="15"/>
      <c r="B44" s="15"/>
      <c r="C44" s="15"/>
      <c r="D44" s="101">
        <f>D57+D69+D72+D78+D90+D100</f>
        <v>1.0044348782478092</v>
      </c>
      <c r="E44" s="101">
        <f>E57+E69+E72+E78+E90+E100</f>
        <v>1.0138645838532554</v>
      </c>
      <c r="F44" s="101">
        <f>F57+F69+F72+F78+F90+F100</f>
        <v>1.0165516003091311</v>
      </c>
      <c r="G44" s="101">
        <f>G57+G69+G72+G78+G90+G100</f>
        <v>1.0176667403106288</v>
      </c>
      <c r="H44" s="101">
        <f>H57+H69+H72+H78+H90+H100</f>
        <v>1.0173177776197397</v>
      </c>
      <c r="I44" s="119">
        <f>I57+I69+I72+I78+I100</f>
        <v>1</v>
      </c>
      <c r="J44" s="28"/>
      <c r="K44" s="15"/>
    </row>
    <row r="45" spans="1:14" ht="15.75" customHeight="1" x14ac:dyDescent="0.25">
      <c r="A45" s="15"/>
      <c r="B45" s="21" t="s">
        <v>137</v>
      </c>
      <c r="C45" s="20"/>
      <c r="D45" s="39">
        <f>SUM(D46:D56)</f>
        <v>34880</v>
      </c>
      <c r="E45" s="39">
        <f t="shared" ref="E45:H45" si="14">SUM(E46:E56)</f>
        <v>27250</v>
      </c>
      <c r="F45" s="39">
        <f t="shared" si="14"/>
        <v>27250</v>
      </c>
      <c r="G45" s="39">
        <f t="shared" si="14"/>
        <v>27250</v>
      </c>
      <c r="H45" s="39">
        <f t="shared" si="14"/>
        <v>27250</v>
      </c>
      <c r="I45" s="39">
        <f>SUM(D45:H45)</f>
        <v>143880</v>
      </c>
      <c r="J45" s="28"/>
      <c r="K45" s="82">
        <f t="shared" ref="K45:N60" si="15">IFERROR(E45/D45-1,)</f>
        <v>-0.21875</v>
      </c>
      <c r="L45" s="82">
        <f t="shared" si="15"/>
        <v>0</v>
      </c>
      <c r="M45" s="82">
        <f t="shared" si="15"/>
        <v>0</v>
      </c>
      <c r="N45" s="82">
        <f t="shared" si="15"/>
        <v>0</v>
      </c>
    </row>
    <row r="46" spans="1:14" ht="15.75" hidden="1" customHeight="1" outlineLevel="1" x14ac:dyDescent="0.25">
      <c r="A46" s="14"/>
      <c r="B46" t="s">
        <v>56</v>
      </c>
      <c r="C46" s="29">
        <f>Inputs!H3</f>
        <v>2725</v>
      </c>
      <c r="D46" s="29">
        <f>Inputs!$J$4</f>
        <v>2616.0000000000005</v>
      </c>
      <c r="E46" s="29">
        <f>Inputs!$J$4</f>
        <v>2616.0000000000005</v>
      </c>
      <c r="F46" s="29">
        <f>Inputs!$J$4</f>
        <v>2616.0000000000005</v>
      </c>
      <c r="G46" s="29">
        <f>Inputs!$J$4</f>
        <v>2616.0000000000005</v>
      </c>
      <c r="H46" s="29">
        <f>Inputs!$J$4</f>
        <v>2616.0000000000005</v>
      </c>
      <c r="I46" s="121">
        <f>SUM(D46:H46)</f>
        <v>13080.000000000002</v>
      </c>
      <c r="J46" s="30"/>
      <c r="K46" s="82">
        <f>IFERROR(E46/D46-1,)</f>
        <v>0</v>
      </c>
      <c r="L46" s="82">
        <f t="shared" si="15"/>
        <v>0</v>
      </c>
      <c r="M46" s="82">
        <f t="shared" si="15"/>
        <v>0</v>
      </c>
      <c r="N46" s="82">
        <f t="shared" si="15"/>
        <v>0</v>
      </c>
    </row>
    <row r="47" spans="1:14" ht="15.75" hidden="1" customHeight="1" outlineLevel="1" x14ac:dyDescent="0.25">
      <c r="A47" s="14"/>
      <c r="B47" s="68" t="s">
        <v>4</v>
      </c>
      <c r="C47" s="15"/>
      <c r="D47" s="29">
        <f>Inputs!J5</f>
        <v>2180</v>
      </c>
      <c r="E47" s="29">
        <f>Inputs!K5</f>
        <v>1090</v>
      </c>
      <c r="F47" s="29">
        <f>Inputs!L5</f>
        <v>1090</v>
      </c>
      <c r="G47" s="29">
        <f>Inputs!M5</f>
        <v>1090</v>
      </c>
      <c r="H47" s="29">
        <f>Inputs!N5</f>
        <v>1090</v>
      </c>
      <c r="I47" s="121">
        <f t="shared" ref="I47:I56" si="16">SUM(D47:H47)</f>
        <v>6540</v>
      </c>
      <c r="J47" s="30"/>
      <c r="K47" s="82">
        <f t="shared" ref="K47:N68" si="17">IFERROR(E47/D47-1,)</f>
        <v>-0.5</v>
      </c>
      <c r="L47" s="82">
        <f t="shared" si="15"/>
        <v>0</v>
      </c>
      <c r="M47" s="82">
        <f t="shared" si="15"/>
        <v>0</v>
      </c>
      <c r="N47" s="82">
        <f t="shared" si="15"/>
        <v>0</v>
      </c>
    </row>
    <row r="48" spans="1:14" ht="15.75" hidden="1" customHeight="1" outlineLevel="1" x14ac:dyDescent="0.25">
      <c r="A48" s="14"/>
      <c r="B48" t="s">
        <v>75</v>
      </c>
      <c r="C48" s="15"/>
      <c r="D48" s="29">
        <f>Inputs!J6</f>
        <v>5450</v>
      </c>
      <c r="E48" s="29">
        <f>Inputs!K6</f>
        <v>2725</v>
      </c>
      <c r="F48" s="29">
        <f>Inputs!L6</f>
        <v>2725</v>
      </c>
      <c r="G48" s="29">
        <f>Inputs!M6</f>
        <v>2725</v>
      </c>
      <c r="H48" s="29">
        <f>Inputs!N6</f>
        <v>2725</v>
      </c>
      <c r="I48" s="121">
        <f t="shared" si="16"/>
        <v>16350</v>
      </c>
      <c r="J48" s="30"/>
      <c r="K48" s="82">
        <f t="shared" si="17"/>
        <v>-0.5</v>
      </c>
      <c r="L48" s="82">
        <f t="shared" si="15"/>
        <v>0</v>
      </c>
      <c r="M48" s="82">
        <f t="shared" si="15"/>
        <v>0</v>
      </c>
      <c r="N48" s="82">
        <f t="shared" si="15"/>
        <v>0</v>
      </c>
    </row>
    <row r="49" spans="1:14" ht="15.75" hidden="1" customHeight="1" outlineLevel="1" x14ac:dyDescent="0.25">
      <c r="A49" s="14"/>
      <c r="B49" t="s">
        <v>76</v>
      </c>
      <c r="C49" s="15"/>
      <c r="D49" s="29">
        <f>Inputs!J7</f>
        <v>1090</v>
      </c>
      <c r="E49" s="29">
        <f>Inputs!K7</f>
        <v>545</v>
      </c>
      <c r="F49" s="29">
        <f>Inputs!L7</f>
        <v>545</v>
      </c>
      <c r="G49" s="29">
        <f>Inputs!M7</f>
        <v>545</v>
      </c>
      <c r="H49" s="29">
        <f>Inputs!N7</f>
        <v>545</v>
      </c>
      <c r="I49" s="121">
        <f t="shared" si="16"/>
        <v>3270</v>
      </c>
      <c r="J49" s="30"/>
      <c r="K49" s="82">
        <f t="shared" si="17"/>
        <v>-0.5</v>
      </c>
      <c r="L49" s="82">
        <f t="shared" si="15"/>
        <v>0</v>
      </c>
      <c r="M49" s="82">
        <f t="shared" si="15"/>
        <v>0</v>
      </c>
      <c r="N49" s="82">
        <f t="shared" si="15"/>
        <v>0</v>
      </c>
    </row>
    <row r="50" spans="1:14" ht="15.75" hidden="1" customHeight="1" outlineLevel="1" x14ac:dyDescent="0.25">
      <c r="A50" s="14"/>
      <c r="B50" t="s">
        <v>77</v>
      </c>
      <c r="C50" s="15"/>
      <c r="D50" s="29">
        <f>Inputs!J8</f>
        <v>1090</v>
      </c>
      <c r="E50" s="29">
        <f>Inputs!K8</f>
        <v>545</v>
      </c>
      <c r="F50" s="29">
        <f>Inputs!L8</f>
        <v>545</v>
      </c>
      <c r="G50" s="29">
        <f>Inputs!M8</f>
        <v>545</v>
      </c>
      <c r="H50" s="29">
        <f>Inputs!N8</f>
        <v>545</v>
      </c>
      <c r="I50" s="121">
        <f t="shared" si="16"/>
        <v>3270</v>
      </c>
      <c r="J50" s="30"/>
      <c r="K50" s="82">
        <f t="shared" si="17"/>
        <v>-0.5</v>
      </c>
      <c r="L50" s="82">
        <f t="shared" si="15"/>
        <v>0</v>
      </c>
      <c r="M50" s="82">
        <f t="shared" si="15"/>
        <v>0</v>
      </c>
      <c r="N50" s="82">
        <f t="shared" si="15"/>
        <v>0</v>
      </c>
    </row>
    <row r="51" spans="1:14" ht="15.75" hidden="1" customHeight="1" outlineLevel="1" x14ac:dyDescent="0.25">
      <c r="A51" s="14"/>
      <c r="B51" t="s">
        <v>78</v>
      </c>
      <c r="C51" s="14"/>
      <c r="D51" s="29">
        <f>Inputs!J9</f>
        <v>3270</v>
      </c>
      <c r="E51" s="29">
        <f>Inputs!K9</f>
        <v>1090</v>
      </c>
      <c r="F51" s="29">
        <f>Inputs!L9</f>
        <v>1090</v>
      </c>
      <c r="G51" s="29">
        <f>Inputs!M9</f>
        <v>1090</v>
      </c>
      <c r="H51" s="29">
        <f>Inputs!N9</f>
        <v>1090</v>
      </c>
      <c r="I51" s="121">
        <f t="shared" si="16"/>
        <v>7630</v>
      </c>
      <c r="J51" s="30"/>
      <c r="K51" s="82">
        <f t="shared" si="17"/>
        <v>-0.66666666666666674</v>
      </c>
      <c r="L51" s="82">
        <f t="shared" si="15"/>
        <v>0</v>
      </c>
      <c r="M51" s="82">
        <f t="shared" si="15"/>
        <v>0</v>
      </c>
      <c r="N51" s="82">
        <f t="shared" si="15"/>
        <v>0</v>
      </c>
    </row>
    <row r="52" spans="1:14" ht="15.75" hidden="1" customHeight="1" outlineLevel="1" x14ac:dyDescent="0.25">
      <c r="A52" s="14"/>
      <c r="B52" t="s">
        <v>79</v>
      </c>
      <c r="C52" s="15"/>
      <c r="D52" s="29">
        <f>Inputs!J10</f>
        <v>1090</v>
      </c>
      <c r="E52" s="29">
        <f>Inputs!K10</f>
        <v>545</v>
      </c>
      <c r="F52" s="29">
        <f>Inputs!L10</f>
        <v>545</v>
      </c>
      <c r="G52" s="29">
        <f>Inputs!M10</f>
        <v>545</v>
      </c>
      <c r="H52" s="29">
        <f>Inputs!N10</f>
        <v>545</v>
      </c>
      <c r="I52" s="121">
        <f t="shared" si="16"/>
        <v>3270</v>
      </c>
      <c r="J52" s="30"/>
      <c r="K52" s="82">
        <f t="shared" si="17"/>
        <v>-0.5</v>
      </c>
      <c r="L52" s="82">
        <f t="shared" si="15"/>
        <v>0</v>
      </c>
      <c r="M52" s="82">
        <f t="shared" si="15"/>
        <v>0</v>
      </c>
      <c r="N52" s="82">
        <f t="shared" si="15"/>
        <v>0</v>
      </c>
    </row>
    <row r="53" spans="1:14" ht="15.75" hidden="1" customHeight="1" outlineLevel="1" x14ac:dyDescent="0.25">
      <c r="A53" s="14"/>
      <c r="B53" t="s">
        <v>11</v>
      </c>
      <c r="C53" s="15"/>
      <c r="D53" s="29">
        <f>Inputs!J11</f>
        <v>872.00000000000011</v>
      </c>
      <c r="E53" s="29">
        <f>Inputs!K11</f>
        <v>872.00000000000011</v>
      </c>
      <c r="F53" s="29">
        <f>Inputs!L11</f>
        <v>872.00000000000011</v>
      </c>
      <c r="G53" s="29">
        <f>Inputs!M11</f>
        <v>872.00000000000011</v>
      </c>
      <c r="H53" s="29">
        <f>Inputs!N11</f>
        <v>872.00000000000011</v>
      </c>
      <c r="I53" s="121">
        <f t="shared" si="16"/>
        <v>4360.0000000000009</v>
      </c>
      <c r="J53" s="30"/>
      <c r="K53" s="82">
        <f t="shared" si="17"/>
        <v>0</v>
      </c>
      <c r="L53" s="82">
        <f t="shared" si="15"/>
        <v>0</v>
      </c>
      <c r="M53" s="82">
        <f t="shared" si="15"/>
        <v>0</v>
      </c>
      <c r="N53" s="82">
        <f t="shared" si="15"/>
        <v>0</v>
      </c>
    </row>
    <row r="54" spans="1:14" ht="15.75" hidden="1" customHeight="1" outlineLevel="1" x14ac:dyDescent="0.25">
      <c r="A54" s="14"/>
      <c r="B54" t="s">
        <v>81</v>
      </c>
      <c r="C54" s="15"/>
      <c r="D54" s="29">
        <f>Inputs!J12</f>
        <v>872.00000000000011</v>
      </c>
      <c r="E54" s="29">
        <f>Inputs!K12</f>
        <v>872.00000000000011</v>
      </c>
      <c r="F54" s="29">
        <f>Inputs!L12</f>
        <v>872.00000000000011</v>
      </c>
      <c r="G54" s="29">
        <f>Inputs!M12</f>
        <v>872.00000000000011</v>
      </c>
      <c r="H54" s="29">
        <f>Inputs!N12</f>
        <v>872.00000000000011</v>
      </c>
      <c r="I54" s="121">
        <f t="shared" si="16"/>
        <v>4360.0000000000009</v>
      </c>
      <c r="J54" s="30"/>
      <c r="K54" s="82">
        <f t="shared" si="17"/>
        <v>0</v>
      </c>
      <c r="L54" s="82">
        <f t="shared" si="15"/>
        <v>0</v>
      </c>
      <c r="M54" s="82">
        <f t="shared" si="15"/>
        <v>0</v>
      </c>
      <c r="N54" s="82">
        <f t="shared" si="15"/>
        <v>0</v>
      </c>
    </row>
    <row r="55" spans="1:14" ht="15.75" hidden="1" customHeight="1" outlineLevel="1" x14ac:dyDescent="0.25">
      <c r="A55" s="14"/>
      <c r="B55" s="1" t="s">
        <v>80</v>
      </c>
      <c r="C55" s="15"/>
      <c r="D55" s="29">
        <f>Inputs!J13</f>
        <v>5450</v>
      </c>
      <c r="E55" s="29">
        <f>Inputs!K13</f>
        <v>5450</v>
      </c>
      <c r="F55" s="29">
        <f>Inputs!L13</f>
        <v>5450</v>
      </c>
      <c r="G55" s="29">
        <f>Inputs!M13</f>
        <v>5450</v>
      </c>
      <c r="H55" s="29">
        <f>Inputs!N13</f>
        <v>5450</v>
      </c>
      <c r="I55" s="121">
        <f t="shared" si="16"/>
        <v>27250</v>
      </c>
      <c r="J55" s="30"/>
      <c r="K55" s="82">
        <f t="shared" si="17"/>
        <v>0</v>
      </c>
      <c r="L55" s="82">
        <f t="shared" si="15"/>
        <v>0</v>
      </c>
      <c r="M55" s="82">
        <f t="shared" si="15"/>
        <v>0</v>
      </c>
      <c r="N55" s="82">
        <f t="shared" si="15"/>
        <v>0</v>
      </c>
    </row>
    <row r="56" spans="1:14" ht="15.75" hidden="1" customHeight="1" outlineLevel="1" x14ac:dyDescent="0.25">
      <c r="A56" s="14"/>
      <c r="B56" t="s">
        <v>82</v>
      </c>
      <c r="C56" s="22"/>
      <c r="D56" s="29">
        <f>Inputs!J14</f>
        <v>10900</v>
      </c>
      <c r="E56" s="29">
        <f>Inputs!K14</f>
        <v>10900</v>
      </c>
      <c r="F56" s="29">
        <f>Inputs!L14</f>
        <v>10900</v>
      </c>
      <c r="G56" s="29">
        <f>Inputs!M14</f>
        <v>10900</v>
      </c>
      <c r="H56" s="29">
        <f>Inputs!N14</f>
        <v>10900</v>
      </c>
      <c r="I56" s="121">
        <f t="shared" si="16"/>
        <v>54500</v>
      </c>
      <c r="J56" s="30"/>
      <c r="K56" s="82">
        <f t="shared" si="17"/>
        <v>0</v>
      </c>
      <c r="L56" s="82">
        <f t="shared" si="15"/>
        <v>0</v>
      </c>
      <c r="M56" s="82">
        <f t="shared" si="15"/>
        <v>0</v>
      </c>
      <c r="N56" s="82">
        <f t="shared" si="15"/>
        <v>0</v>
      </c>
    </row>
    <row r="57" spans="1:14" ht="15.75" customHeight="1" collapsed="1" x14ac:dyDescent="0.25">
      <c r="A57" s="14"/>
      <c r="B57" s="30"/>
      <c r="C57" s="41"/>
      <c r="D57" s="101">
        <f t="shared" ref="D57:I57" si="18">+D45/D$101</f>
        <v>0.10312570218905591</v>
      </c>
      <c r="E57" s="101">
        <f t="shared" si="18"/>
        <v>6.8692710909309992E-2</v>
      </c>
      <c r="F57" s="101">
        <f t="shared" si="18"/>
        <v>6.0137481123175712E-2</v>
      </c>
      <c r="G57" s="101">
        <f t="shared" si="18"/>
        <v>5.0675649838382096E-2</v>
      </c>
      <c r="H57" s="101">
        <f t="shared" si="18"/>
        <v>4.4943756203610116E-2</v>
      </c>
      <c r="I57" s="122">
        <f t="shared" si="18"/>
        <v>6.1695532123239201E-2</v>
      </c>
      <c r="J57" s="101">
        <f>SUM(D57:I57)</f>
        <v>0.38927083238677301</v>
      </c>
      <c r="K57" s="82"/>
      <c r="L57" s="82"/>
      <c r="M57" s="82"/>
      <c r="N57" s="82"/>
    </row>
    <row r="58" spans="1:14" ht="15.75" customHeight="1" x14ac:dyDescent="0.25">
      <c r="A58" s="14"/>
      <c r="B58" s="73" t="s">
        <v>40</v>
      </c>
      <c r="C58" s="74"/>
      <c r="D58" s="75">
        <f t="shared" ref="D58:I58" si="19">SUM(D59:D68)</f>
        <v>270756</v>
      </c>
      <c r="E58" s="75">
        <f t="shared" si="19"/>
        <v>335305.80000000005</v>
      </c>
      <c r="F58" s="75">
        <f t="shared" si="19"/>
        <v>390395.49</v>
      </c>
      <c r="G58" s="75">
        <f t="shared" si="19"/>
        <v>473248.62450000003</v>
      </c>
      <c r="H58" s="75">
        <f t="shared" si="19"/>
        <v>540458.29972500005</v>
      </c>
      <c r="I58" s="75">
        <f t="shared" si="19"/>
        <v>2010164.2142250002</v>
      </c>
      <c r="J58" s="30"/>
      <c r="K58" s="82">
        <f t="shared" ref="K58:N58" si="20">IFERROR(E58/D58-1,)</f>
        <v>0.23840579710144949</v>
      </c>
      <c r="L58" s="82">
        <f t="shared" si="20"/>
        <v>0.164296859762044</v>
      </c>
      <c r="M58" s="82">
        <f t="shared" si="20"/>
        <v>0.21222871836967183</v>
      </c>
      <c r="N58" s="82">
        <f t="shared" si="20"/>
        <v>0.1420176874174941</v>
      </c>
    </row>
    <row r="59" spans="1:14" ht="15.75" hidden="1" customHeight="1" outlineLevel="1" x14ac:dyDescent="0.25">
      <c r="A59" s="14"/>
      <c r="B59" s="49" t="s">
        <v>89</v>
      </c>
      <c r="C59" s="22"/>
      <c r="D59" s="120">
        <f>Inputs!I27</f>
        <v>15696</v>
      </c>
      <c r="E59" s="120">
        <f>Inputs!J27</f>
        <v>16480.8</v>
      </c>
      <c r="F59" s="120">
        <f>Inputs!K27</f>
        <v>17304.84</v>
      </c>
      <c r="G59" s="120">
        <f>Inputs!L27</f>
        <v>18170.082000000002</v>
      </c>
      <c r="H59" s="120">
        <f>Inputs!M27</f>
        <v>19078.586100000004</v>
      </c>
      <c r="I59" s="102">
        <f>SUM(D59:H59)</f>
        <v>86730.308100000009</v>
      </c>
      <c r="K59" s="82">
        <f t="shared" si="17"/>
        <v>5.0000000000000044E-2</v>
      </c>
      <c r="L59" s="82">
        <f t="shared" si="15"/>
        <v>5.0000000000000044E-2</v>
      </c>
      <c r="M59" s="82">
        <f t="shared" si="15"/>
        <v>5.0000000000000044E-2</v>
      </c>
      <c r="N59" s="82">
        <f t="shared" si="15"/>
        <v>5.0000000000000044E-2</v>
      </c>
    </row>
    <row r="60" spans="1:14" ht="15.75" hidden="1" customHeight="1" outlineLevel="1" x14ac:dyDescent="0.25">
      <c r="A60" s="14"/>
      <c r="B60" s="49" t="s">
        <v>111</v>
      </c>
      <c r="C60" s="22"/>
      <c r="D60" s="120">
        <f>Inputs!I28</f>
        <v>19620.000000000004</v>
      </c>
      <c r="E60" s="120">
        <f>Inputs!J28</f>
        <v>20601.000000000004</v>
      </c>
      <c r="F60" s="120">
        <f>Inputs!K28</f>
        <v>21631.050000000007</v>
      </c>
      <c r="G60" s="120">
        <f>Inputs!L28</f>
        <v>22712.602500000008</v>
      </c>
      <c r="H60" s="120">
        <f>Inputs!M28</f>
        <v>23848.232625000008</v>
      </c>
      <c r="I60" s="102">
        <f>SUM(D60:H60)</f>
        <v>108412.88512500003</v>
      </c>
      <c r="J60" s="30"/>
      <c r="K60" s="82">
        <f t="shared" si="17"/>
        <v>5.0000000000000044E-2</v>
      </c>
      <c r="L60" s="82">
        <f t="shared" si="15"/>
        <v>5.0000000000000044E-2</v>
      </c>
      <c r="M60" s="82">
        <f t="shared" si="15"/>
        <v>5.0000000000000044E-2</v>
      </c>
      <c r="N60" s="82">
        <f t="shared" si="15"/>
        <v>5.0000000000000044E-2</v>
      </c>
    </row>
    <row r="61" spans="1:14" ht="15.75" hidden="1" customHeight="1" outlineLevel="1" x14ac:dyDescent="0.25">
      <c r="A61" s="14"/>
      <c r="B61" s="49" t="s">
        <v>112</v>
      </c>
      <c r="C61" s="22"/>
      <c r="D61" s="120"/>
      <c r="E61" s="120">
        <f>Inputs!I28</f>
        <v>19620.000000000004</v>
      </c>
      <c r="F61" s="120">
        <f>Inputs!J28</f>
        <v>20601.000000000004</v>
      </c>
      <c r="G61" s="120">
        <f>Inputs!K28</f>
        <v>21631.050000000007</v>
      </c>
      <c r="H61" s="120">
        <f>Inputs!L28</f>
        <v>22712.602500000008</v>
      </c>
      <c r="I61" s="102">
        <f t="shared" ref="I61:I68" si="21">SUM(D61:H61)</f>
        <v>84564.652500000026</v>
      </c>
      <c r="J61" s="30"/>
      <c r="K61" s="82">
        <f t="shared" si="17"/>
        <v>0</v>
      </c>
      <c r="L61" s="82">
        <f t="shared" si="17"/>
        <v>5.0000000000000044E-2</v>
      </c>
      <c r="M61" s="82">
        <f t="shared" si="17"/>
        <v>5.0000000000000044E-2</v>
      </c>
      <c r="N61" s="82">
        <f t="shared" si="17"/>
        <v>5.0000000000000044E-2</v>
      </c>
    </row>
    <row r="62" spans="1:14" ht="15.75" hidden="1" customHeight="1" outlineLevel="1" x14ac:dyDescent="0.25">
      <c r="A62" s="14"/>
      <c r="B62" s="49" t="s">
        <v>113</v>
      </c>
      <c r="C62" s="22"/>
      <c r="D62" s="120"/>
      <c r="E62" s="120">
        <f>Inputs!I28</f>
        <v>19620.000000000004</v>
      </c>
      <c r="F62" s="120">
        <f>Inputs!J28</f>
        <v>20601.000000000004</v>
      </c>
      <c r="G62" s="120">
        <f>Inputs!K28</f>
        <v>21631.050000000007</v>
      </c>
      <c r="H62" s="120">
        <f>Inputs!L28</f>
        <v>22712.602500000008</v>
      </c>
      <c r="I62" s="102">
        <f t="shared" si="21"/>
        <v>84564.652500000026</v>
      </c>
      <c r="J62" s="71"/>
      <c r="K62" s="82">
        <f t="shared" si="17"/>
        <v>0</v>
      </c>
      <c r="L62" s="82">
        <f t="shared" si="17"/>
        <v>5.0000000000000044E-2</v>
      </c>
      <c r="M62" s="82">
        <f t="shared" si="17"/>
        <v>5.0000000000000044E-2</v>
      </c>
      <c r="N62" s="82">
        <f t="shared" si="17"/>
        <v>5.0000000000000044E-2</v>
      </c>
    </row>
    <row r="63" spans="1:14" ht="15.75" hidden="1" customHeight="1" outlineLevel="1" x14ac:dyDescent="0.25">
      <c r="A63" s="14"/>
      <c r="B63" s="49" t="s">
        <v>153</v>
      </c>
      <c r="C63" s="22"/>
      <c r="D63" s="120"/>
      <c r="E63" s="120"/>
      <c r="F63" s="120">
        <f>Inputs!I28</f>
        <v>19620.000000000004</v>
      </c>
      <c r="G63" s="120">
        <f>Inputs!I28</f>
        <v>19620.000000000004</v>
      </c>
      <c r="H63" s="120">
        <f>Inputs!J28</f>
        <v>20601.000000000004</v>
      </c>
      <c r="I63" s="102">
        <f t="shared" si="21"/>
        <v>59841.000000000015</v>
      </c>
      <c r="J63" s="71"/>
      <c r="K63" s="82"/>
      <c r="L63" s="82"/>
      <c r="M63" s="82"/>
      <c r="N63" s="82"/>
    </row>
    <row r="64" spans="1:14" ht="15.75" hidden="1" customHeight="1" outlineLevel="1" x14ac:dyDescent="0.25">
      <c r="A64" s="14"/>
      <c r="B64" s="49" t="s">
        <v>154</v>
      </c>
      <c r="C64" s="22"/>
      <c r="D64" s="120"/>
      <c r="E64" s="120"/>
      <c r="F64" s="120"/>
      <c r="G64" s="120">
        <f>Inputs!I29</f>
        <v>23544.000000000004</v>
      </c>
      <c r="H64" s="120">
        <f>Inputs!J29</f>
        <v>24721.200000000004</v>
      </c>
      <c r="I64" s="102">
        <f t="shared" si="21"/>
        <v>48265.200000000012</v>
      </c>
      <c r="J64" s="30"/>
      <c r="K64" s="82">
        <f t="shared" si="17"/>
        <v>0</v>
      </c>
      <c r="L64" s="82">
        <f t="shared" si="17"/>
        <v>0</v>
      </c>
      <c r="M64" s="82">
        <f t="shared" si="17"/>
        <v>0</v>
      </c>
      <c r="N64" s="82">
        <f t="shared" si="17"/>
        <v>5.0000000000000044E-2</v>
      </c>
    </row>
    <row r="65" spans="1:14" ht="15.75" hidden="1" customHeight="1" outlineLevel="1" x14ac:dyDescent="0.25">
      <c r="A65" s="14"/>
      <c r="B65" s="49" t="s">
        <v>114</v>
      </c>
      <c r="C65" s="22"/>
      <c r="D65" s="120"/>
      <c r="E65" s="120"/>
      <c r="F65" s="120"/>
      <c r="G65" s="120">
        <f>Inputs!I28</f>
        <v>19620.000000000004</v>
      </c>
      <c r="H65" s="120">
        <f>Inputs!J28</f>
        <v>20601.000000000004</v>
      </c>
      <c r="I65" s="102">
        <f t="shared" si="21"/>
        <v>40221.000000000007</v>
      </c>
      <c r="J65" s="30"/>
      <c r="K65" s="82">
        <f t="shared" si="17"/>
        <v>0</v>
      </c>
      <c r="L65" s="82">
        <f t="shared" si="17"/>
        <v>0</v>
      </c>
      <c r="M65" s="82">
        <f t="shared" si="17"/>
        <v>0</v>
      </c>
      <c r="N65" s="82">
        <f t="shared" si="17"/>
        <v>5.0000000000000044E-2</v>
      </c>
    </row>
    <row r="66" spans="1:14" ht="15.75" hidden="1" customHeight="1" outlineLevel="1" x14ac:dyDescent="0.25">
      <c r="A66" s="14"/>
      <c r="B66" s="49" t="s">
        <v>152</v>
      </c>
      <c r="C66" s="22"/>
      <c r="D66" s="120"/>
      <c r="E66" s="120"/>
      <c r="F66" s="120"/>
      <c r="G66" s="120"/>
      <c r="H66" s="120">
        <f>Inputs!I28</f>
        <v>19620.000000000004</v>
      </c>
      <c r="I66" s="102">
        <f t="shared" si="21"/>
        <v>19620.000000000004</v>
      </c>
      <c r="J66" s="30"/>
      <c r="K66" s="82"/>
      <c r="L66" s="82"/>
      <c r="M66" s="82"/>
      <c r="N66" s="82"/>
    </row>
    <row r="67" spans="1:14" ht="15.75" hidden="1" customHeight="1" outlineLevel="1" x14ac:dyDescent="0.25">
      <c r="A67" s="14"/>
      <c r="B67" s="49" t="s">
        <v>115</v>
      </c>
      <c r="C67" s="22"/>
      <c r="D67" s="120">
        <f>Inputs!I30</f>
        <v>104640</v>
      </c>
      <c r="E67" s="120">
        <f>Inputs!J30</f>
        <v>115104.00000000001</v>
      </c>
      <c r="F67" s="120">
        <f>Inputs!K30</f>
        <v>132369.60000000001</v>
      </c>
      <c r="G67" s="120">
        <f>Inputs!L30</f>
        <v>152225.04</v>
      </c>
      <c r="H67" s="120">
        <f>Inputs!M30</f>
        <v>175058.796</v>
      </c>
      <c r="I67" s="102">
        <f t="shared" si="21"/>
        <v>679397.43599999999</v>
      </c>
      <c r="J67" s="30"/>
      <c r="K67" s="82">
        <f t="shared" si="17"/>
        <v>0.10000000000000009</v>
      </c>
      <c r="L67" s="82">
        <f t="shared" si="17"/>
        <v>0.14999999999999991</v>
      </c>
      <c r="M67" s="82">
        <f t="shared" si="17"/>
        <v>0.14999999999999991</v>
      </c>
      <c r="N67" s="82">
        <f t="shared" si="17"/>
        <v>0.14999999999999991</v>
      </c>
    </row>
    <row r="68" spans="1:14" ht="15.75" hidden="1" customHeight="1" outlineLevel="1" x14ac:dyDescent="0.25">
      <c r="A68" s="14"/>
      <c r="B68" s="49" t="s">
        <v>91</v>
      </c>
      <c r="C68" s="22"/>
      <c r="D68" s="120">
        <f>Inputs!I31</f>
        <v>130800</v>
      </c>
      <c r="E68" s="120">
        <f>Inputs!J31</f>
        <v>143880</v>
      </c>
      <c r="F68" s="120">
        <f>Inputs!K31</f>
        <v>158268</v>
      </c>
      <c r="G68" s="120">
        <f>Inputs!L31</f>
        <v>174094.80000000002</v>
      </c>
      <c r="H68" s="120">
        <f>Inputs!M31</f>
        <v>191504.28000000003</v>
      </c>
      <c r="I68" s="102">
        <f t="shared" si="21"/>
        <v>798547.08000000007</v>
      </c>
      <c r="J68" s="30"/>
      <c r="K68" s="82">
        <f t="shared" si="17"/>
        <v>0.10000000000000009</v>
      </c>
      <c r="L68" s="82">
        <f t="shared" si="17"/>
        <v>0.10000000000000009</v>
      </c>
      <c r="M68" s="82">
        <f t="shared" si="17"/>
        <v>0.10000000000000009</v>
      </c>
      <c r="N68" s="82">
        <f t="shared" si="17"/>
        <v>0.10000000000000009</v>
      </c>
    </row>
    <row r="69" spans="1:14" ht="15.75" customHeight="1" collapsed="1" x14ac:dyDescent="0.25">
      <c r="A69" s="14"/>
      <c r="B69" s="49"/>
      <c r="C69" s="22"/>
      <c r="D69" s="101">
        <f t="shared" ref="D69:I69" si="22">+D58/D$101</f>
        <v>0.80051326324254646</v>
      </c>
      <c r="E69" s="101">
        <f t="shared" si="22"/>
        <v>0.84525006919687773</v>
      </c>
      <c r="F69" s="101">
        <f t="shared" si="22"/>
        <v>0.8615560150623095</v>
      </c>
      <c r="G69" s="101">
        <f t="shared" si="22"/>
        <v>0.88008005804249456</v>
      </c>
      <c r="H69" s="101">
        <f t="shared" si="22"/>
        <v>0.89138444260763472</v>
      </c>
      <c r="I69" s="122">
        <f t="shared" si="22"/>
        <v>0.86195545490481218</v>
      </c>
      <c r="J69" s="30"/>
      <c r="K69" s="14"/>
    </row>
    <row r="70" spans="1:14" ht="15.75" customHeight="1" x14ac:dyDescent="0.25">
      <c r="A70" s="14"/>
      <c r="B70" s="73" t="s">
        <v>97</v>
      </c>
      <c r="C70" s="73"/>
      <c r="D70" s="75">
        <f>D71</f>
        <v>2616.0000000000005</v>
      </c>
      <c r="E70" s="75">
        <f t="shared" ref="E70:H70" si="23">E71</f>
        <v>2877.6000000000008</v>
      </c>
      <c r="F70" s="75">
        <f t="shared" si="23"/>
        <v>3165.360000000001</v>
      </c>
      <c r="G70" s="75">
        <f t="shared" si="23"/>
        <v>3481.8960000000015</v>
      </c>
      <c r="H70" s="75">
        <f t="shared" si="23"/>
        <v>3830.0856000000022</v>
      </c>
      <c r="I70" s="75">
        <f>SUM(D71:H71)</f>
        <v>15970.941600000006</v>
      </c>
      <c r="J70" s="30"/>
      <c r="K70" s="82">
        <f t="shared" ref="K70:N71" si="24">IFERROR(E70/D70-1,)</f>
        <v>0.10000000000000009</v>
      </c>
      <c r="L70" s="82">
        <f t="shared" si="24"/>
        <v>0.10000000000000009</v>
      </c>
      <c r="M70" s="82">
        <f t="shared" si="24"/>
        <v>0.10000000000000009</v>
      </c>
      <c r="N70" s="82">
        <f t="shared" si="24"/>
        <v>0.10000000000000009</v>
      </c>
    </row>
    <row r="71" spans="1:14" ht="15.75" hidden="1" customHeight="1" outlineLevel="1" x14ac:dyDescent="0.25">
      <c r="A71" s="14"/>
      <c r="B71" s="30" t="s">
        <v>93</v>
      </c>
      <c r="C71" s="22"/>
      <c r="D71" s="29">
        <f>Inputs!I34</f>
        <v>2616.0000000000005</v>
      </c>
      <c r="E71" s="29">
        <f>Inputs!J34</f>
        <v>2877.6000000000008</v>
      </c>
      <c r="F71" s="29">
        <f>Inputs!K34</f>
        <v>3165.360000000001</v>
      </c>
      <c r="G71" s="29">
        <f>Inputs!L34</f>
        <v>3481.8960000000015</v>
      </c>
      <c r="H71" s="29">
        <f>Inputs!M34</f>
        <v>3830.0856000000022</v>
      </c>
      <c r="I71" s="102">
        <f>SUM(D71:H71)</f>
        <v>15970.941600000006</v>
      </c>
      <c r="J71" s="30"/>
      <c r="K71" s="82">
        <f t="shared" si="24"/>
        <v>0.10000000000000009</v>
      </c>
      <c r="L71" s="82">
        <f t="shared" si="24"/>
        <v>0.10000000000000009</v>
      </c>
      <c r="M71" s="82">
        <f t="shared" si="24"/>
        <v>0.10000000000000009</v>
      </c>
      <c r="N71" s="82">
        <f t="shared" si="24"/>
        <v>0.10000000000000009</v>
      </c>
    </row>
    <row r="72" spans="1:14" ht="15.75" customHeight="1" collapsed="1" x14ac:dyDescent="0.25">
      <c r="A72" s="14"/>
      <c r="B72" s="30"/>
      <c r="C72" s="22"/>
      <c r="D72" s="101">
        <f>+D70/D$101</f>
        <v>7.7344276641791937E-3</v>
      </c>
      <c r="E72" s="101">
        <f t="shared" ref="E72:I72" si="25">+E70/E$101</f>
        <v>7.253950272023137E-3</v>
      </c>
      <c r="F72" s="101">
        <f t="shared" si="25"/>
        <v>6.9855698072680932E-3</v>
      </c>
      <c r="G72" s="101">
        <f t="shared" si="25"/>
        <v>6.4751318337491143E-3</v>
      </c>
      <c r="H72" s="101">
        <f t="shared" si="25"/>
        <v>6.3170067319397389E-3</v>
      </c>
      <c r="I72" s="122">
        <f t="shared" si="25"/>
        <v>6.8483162393743226E-3</v>
      </c>
      <c r="J72" s="30"/>
      <c r="K72" s="14"/>
    </row>
    <row r="73" spans="1:14" ht="15.75" customHeight="1" x14ac:dyDescent="0.25">
      <c r="A73" s="14"/>
      <c r="B73" s="73" t="s">
        <v>119</v>
      </c>
      <c r="C73" s="73"/>
      <c r="D73" s="75">
        <f>SUM(D74:D77)</f>
        <v>28776.000000000004</v>
      </c>
      <c r="E73" s="75">
        <f t="shared" ref="E73:H73" si="26">SUM(E74:E77)</f>
        <v>29560.800000000003</v>
      </c>
      <c r="F73" s="75">
        <f t="shared" si="26"/>
        <v>30417.540000000005</v>
      </c>
      <c r="G73" s="75">
        <f t="shared" si="26"/>
        <v>31353.08700000001</v>
      </c>
      <c r="H73" s="75">
        <f t="shared" si="26"/>
        <v>32374.978350000009</v>
      </c>
      <c r="I73" s="75">
        <f>SUM(D73:H73)</f>
        <v>152482.40535000004</v>
      </c>
      <c r="J73" s="30"/>
      <c r="K73" s="82">
        <f t="shared" ref="K73:N77" si="27">IFERROR(E73/D73-1,)</f>
        <v>2.7272727272727337E-2</v>
      </c>
      <c r="L73" s="82">
        <f t="shared" si="27"/>
        <v>2.8982300884955903E-2</v>
      </c>
      <c r="M73" s="82">
        <f t="shared" si="27"/>
        <v>3.0756826488927302E-2</v>
      </c>
      <c r="N73" s="82">
        <f t="shared" si="27"/>
        <v>3.2593005913580386E-2</v>
      </c>
    </row>
    <row r="74" spans="1:14" ht="15.75" hidden="1" customHeight="1" outlineLevel="1" x14ac:dyDescent="0.25">
      <c r="A74" s="14"/>
      <c r="B74" s="49" t="s">
        <v>86</v>
      </c>
      <c r="C74" s="14"/>
      <c r="D74" s="29">
        <f>Inputs!I19</f>
        <v>19620.000000000004</v>
      </c>
      <c r="E74" s="29">
        <f>Inputs!J19</f>
        <v>19620.000000000004</v>
      </c>
      <c r="F74" s="29">
        <f>Inputs!K19</f>
        <v>19620.000000000004</v>
      </c>
      <c r="G74" s="29">
        <f>Inputs!L19</f>
        <v>19620.000000000004</v>
      </c>
      <c r="H74" s="29">
        <f>Inputs!M19</f>
        <v>19620.000000000004</v>
      </c>
      <c r="I74" s="102">
        <f t="shared" ref="I74:I77" si="28">SUM(D74:H74)</f>
        <v>98100.000000000015</v>
      </c>
      <c r="J74" s="30"/>
      <c r="K74" s="82">
        <f t="shared" si="27"/>
        <v>0</v>
      </c>
      <c r="L74" s="82">
        <f t="shared" si="27"/>
        <v>0</v>
      </c>
      <c r="M74" s="82">
        <f t="shared" si="27"/>
        <v>0</v>
      </c>
      <c r="N74" s="82">
        <f t="shared" si="27"/>
        <v>0</v>
      </c>
    </row>
    <row r="75" spans="1:14" ht="15.75" hidden="1" customHeight="1" outlineLevel="1" x14ac:dyDescent="0.25">
      <c r="A75" s="14"/>
      <c r="B75" s="49" t="s">
        <v>117</v>
      </c>
      <c r="C75" s="14"/>
      <c r="D75" s="29">
        <f>Inputs!I20</f>
        <v>5232.0000000000009</v>
      </c>
      <c r="E75" s="29">
        <f>Inputs!J20</f>
        <v>5755.2000000000016</v>
      </c>
      <c r="F75" s="29">
        <f>Inputs!K20</f>
        <v>6330.7200000000021</v>
      </c>
      <c r="G75" s="29">
        <f>Inputs!L20</f>
        <v>6963.7920000000031</v>
      </c>
      <c r="H75" s="29">
        <f>Inputs!M20</f>
        <v>7660.1712000000043</v>
      </c>
      <c r="I75" s="102">
        <f t="shared" si="28"/>
        <v>31941.883200000011</v>
      </c>
      <c r="J75" s="30"/>
      <c r="K75" s="82">
        <f t="shared" si="27"/>
        <v>0.10000000000000009</v>
      </c>
      <c r="L75" s="82">
        <f t="shared" si="27"/>
        <v>0.10000000000000009</v>
      </c>
      <c r="M75" s="82">
        <f t="shared" si="27"/>
        <v>0.10000000000000009</v>
      </c>
      <c r="N75" s="82">
        <f t="shared" si="27"/>
        <v>0.10000000000000009</v>
      </c>
    </row>
    <row r="76" spans="1:14" ht="15.75" hidden="1" customHeight="1" outlineLevel="1" x14ac:dyDescent="0.25">
      <c r="A76" s="14"/>
      <c r="B76" s="49" t="s">
        <v>87</v>
      </c>
      <c r="C76" s="14"/>
      <c r="D76" s="29">
        <f>Inputs!I21</f>
        <v>1308.0000000000002</v>
      </c>
      <c r="E76" s="29">
        <f>Inputs!J21</f>
        <v>1438.8000000000004</v>
      </c>
      <c r="F76" s="29">
        <f>Inputs!K21</f>
        <v>1582.6800000000005</v>
      </c>
      <c r="G76" s="29">
        <f>Inputs!L21</f>
        <v>1740.9480000000008</v>
      </c>
      <c r="H76" s="29">
        <f>Inputs!M21</f>
        <v>1915.0428000000011</v>
      </c>
      <c r="I76" s="102">
        <f t="shared" si="28"/>
        <v>7985.4708000000028</v>
      </c>
      <c r="J76" s="30"/>
      <c r="K76" s="82">
        <f t="shared" si="27"/>
        <v>0.10000000000000009</v>
      </c>
      <c r="L76" s="82">
        <f t="shared" si="27"/>
        <v>0.10000000000000009</v>
      </c>
      <c r="M76" s="82">
        <f t="shared" si="27"/>
        <v>0.10000000000000009</v>
      </c>
      <c r="N76" s="82">
        <f t="shared" si="27"/>
        <v>0.10000000000000009</v>
      </c>
    </row>
    <row r="77" spans="1:14" ht="15.75" hidden="1" customHeight="1" outlineLevel="1" x14ac:dyDescent="0.25">
      <c r="A77" s="14"/>
      <c r="B77" s="48" t="s">
        <v>96</v>
      </c>
      <c r="C77" s="14"/>
      <c r="D77" s="29">
        <f>Inputs!I22</f>
        <v>2616.0000000000005</v>
      </c>
      <c r="E77" s="29">
        <f>Inputs!J22</f>
        <v>2746.8000000000006</v>
      </c>
      <c r="F77" s="29">
        <f>Inputs!K22</f>
        <v>2884.1400000000008</v>
      </c>
      <c r="G77" s="29">
        <f>Inputs!L22</f>
        <v>3028.3470000000011</v>
      </c>
      <c r="H77" s="29">
        <f>Inputs!M22</f>
        <v>3179.7643500000013</v>
      </c>
      <c r="I77" s="102">
        <f t="shared" si="28"/>
        <v>14455.051350000005</v>
      </c>
      <c r="J77" s="30"/>
      <c r="K77" s="82">
        <f t="shared" si="27"/>
        <v>5.0000000000000044E-2</v>
      </c>
      <c r="L77" s="82">
        <f t="shared" si="27"/>
        <v>5.0000000000000044E-2</v>
      </c>
      <c r="M77" s="82">
        <f t="shared" si="27"/>
        <v>5.0000000000000044E-2</v>
      </c>
      <c r="N77" s="82">
        <f t="shared" si="27"/>
        <v>5.0000000000000044E-2</v>
      </c>
    </row>
    <row r="78" spans="1:14" ht="15.75" customHeight="1" collapsed="1" x14ac:dyDescent="0.25">
      <c r="A78" s="14"/>
      <c r="D78" s="101">
        <f>+D73/D$101</f>
        <v>8.5078704305971128E-2</v>
      </c>
      <c r="E78" s="101">
        <f t="shared" ref="E78:I78" si="29">+E73/E$101</f>
        <v>7.4517852794419484E-2</v>
      </c>
      <c r="F78" s="101">
        <f t="shared" si="29"/>
        <v>6.7127861928933663E-2</v>
      </c>
      <c r="G78" s="101">
        <f t="shared" si="29"/>
        <v>5.830598378584699E-2</v>
      </c>
      <c r="H78" s="101">
        <f t="shared" si="29"/>
        <v>5.3396445286589218E-2</v>
      </c>
      <c r="I78" s="122">
        <f t="shared" si="29"/>
        <v>6.5384230869472537E-2</v>
      </c>
      <c r="J78" s="30"/>
      <c r="K78" s="14"/>
    </row>
    <row r="79" spans="1:14" ht="15.75" hidden="1" customHeight="1" outlineLevel="1" x14ac:dyDescent="0.25">
      <c r="A79" s="14"/>
      <c r="D79" s="101"/>
      <c r="E79" s="101"/>
      <c r="F79" s="101"/>
      <c r="G79" s="101"/>
      <c r="H79" s="101"/>
      <c r="I79" s="122"/>
      <c r="J79" s="30"/>
      <c r="K79" s="14"/>
    </row>
    <row r="80" spans="1:14" s="132" customFormat="1" ht="15.75" hidden="1" customHeight="1" outlineLevel="1" x14ac:dyDescent="0.25">
      <c r="A80" s="127"/>
      <c r="B80" s="128" t="s">
        <v>99</v>
      </c>
      <c r="C80" s="129">
        <f>SUM(C81:C89)</f>
        <v>6000</v>
      </c>
      <c r="D80" s="129">
        <f t="shared" ref="D80:H80" si="30">SUM(D81:D89)</f>
        <v>1500</v>
      </c>
      <c r="E80" s="129">
        <f t="shared" si="30"/>
        <v>5500</v>
      </c>
      <c r="F80" s="129">
        <f t="shared" si="30"/>
        <v>7500</v>
      </c>
      <c r="G80" s="129">
        <f t="shared" si="30"/>
        <v>9500</v>
      </c>
      <c r="H80" s="129">
        <f t="shared" si="30"/>
        <v>10500</v>
      </c>
      <c r="I80" s="129">
        <f>SUM(D80:H80)</f>
        <v>34500</v>
      </c>
      <c r="J80" s="130" t="s">
        <v>157</v>
      </c>
      <c r="K80" s="131">
        <f t="shared" ref="K80:N89" si="31">IFERROR(E80/D80-1,)</f>
        <v>2.6666666666666665</v>
      </c>
      <c r="L80" s="131">
        <f t="shared" si="31"/>
        <v>0.36363636363636354</v>
      </c>
      <c r="M80" s="131">
        <f t="shared" si="31"/>
        <v>0.26666666666666661</v>
      </c>
      <c r="N80" s="131">
        <f t="shared" si="31"/>
        <v>0.10526315789473695</v>
      </c>
    </row>
    <row r="81" spans="1:14" s="132" customFormat="1" ht="15.75" hidden="1" customHeight="1" outlineLevel="1" x14ac:dyDescent="0.25">
      <c r="A81" s="127"/>
      <c r="B81" s="133" t="s">
        <v>100</v>
      </c>
      <c r="C81" s="134">
        <v>500</v>
      </c>
      <c r="D81" s="134"/>
      <c r="E81" s="134"/>
      <c r="F81" s="134"/>
      <c r="G81" s="134"/>
      <c r="H81" s="134"/>
      <c r="I81" s="135">
        <f t="shared" ref="I81:I89" si="32">SUM(D81:H81)</f>
        <v>0</v>
      </c>
      <c r="J81" s="130" t="s">
        <v>157</v>
      </c>
      <c r="K81" s="131">
        <f t="shared" si="31"/>
        <v>0</v>
      </c>
      <c r="L81" s="131">
        <f t="shared" si="31"/>
        <v>0</v>
      </c>
      <c r="M81" s="131">
        <f t="shared" si="31"/>
        <v>0</v>
      </c>
      <c r="N81" s="131">
        <f t="shared" si="31"/>
        <v>0</v>
      </c>
    </row>
    <row r="82" spans="1:14" s="132" customFormat="1" ht="15.75" hidden="1" customHeight="1" outlineLevel="1" x14ac:dyDescent="0.25">
      <c r="A82" s="127"/>
      <c r="B82" s="133" t="s">
        <v>101</v>
      </c>
      <c r="C82" s="134">
        <v>1000</v>
      </c>
      <c r="D82" s="134"/>
      <c r="E82" s="134"/>
      <c r="F82" s="134"/>
      <c r="G82" s="134"/>
      <c r="H82" s="134"/>
      <c r="I82" s="135">
        <f t="shared" si="32"/>
        <v>0</v>
      </c>
      <c r="J82" s="130" t="s">
        <v>157</v>
      </c>
      <c r="K82" s="131">
        <f t="shared" si="31"/>
        <v>0</v>
      </c>
      <c r="L82" s="131">
        <f t="shared" si="31"/>
        <v>0</v>
      </c>
      <c r="M82" s="131">
        <f t="shared" si="31"/>
        <v>0</v>
      </c>
      <c r="N82" s="131">
        <f t="shared" si="31"/>
        <v>0</v>
      </c>
    </row>
    <row r="83" spans="1:14" s="132" customFormat="1" ht="15.75" hidden="1" customHeight="1" outlineLevel="1" x14ac:dyDescent="0.25">
      <c r="A83" s="127"/>
      <c r="B83" s="133" t="s">
        <v>125</v>
      </c>
      <c r="C83" s="134">
        <v>1000</v>
      </c>
      <c r="D83" s="134"/>
      <c r="E83" s="134"/>
      <c r="F83" s="134">
        <v>1000</v>
      </c>
      <c r="G83" s="134"/>
      <c r="H83" s="134">
        <v>1000</v>
      </c>
      <c r="I83" s="135">
        <f t="shared" si="32"/>
        <v>2000</v>
      </c>
      <c r="J83" s="130" t="s">
        <v>157</v>
      </c>
      <c r="K83" s="131">
        <f t="shared" si="31"/>
        <v>0</v>
      </c>
      <c r="L83" s="131">
        <f t="shared" si="31"/>
        <v>0</v>
      </c>
      <c r="M83" s="131">
        <f t="shared" si="31"/>
        <v>-1</v>
      </c>
      <c r="N83" s="131">
        <f t="shared" si="31"/>
        <v>0</v>
      </c>
    </row>
    <row r="84" spans="1:14" s="132" customFormat="1" ht="15.75" hidden="1" customHeight="1" outlineLevel="1" x14ac:dyDescent="0.25">
      <c r="A84" s="127"/>
      <c r="B84" s="133" t="s">
        <v>126</v>
      </c>
      <c r="C84" s="134"/>
      <c r="D84" s="134"/>
      <c r="E84" s="134">
        <v>1000</v>
      </c>
      <c r="F84" s="134"/>
      <c r="G84" s="134">
        <v>1000</v>
      </c>
      <c r="H84" s="134"/>
      <c r="I84" s="135">
        <f t="shared" si="32"/>
        <v>2000</v>
      </c>
      <c r="J84" s="130" t="s">
        <v>157</v>
      </c>
      <c r="K84" s="131">
        <f t="shared" si="31"/>
        <v>0</v>
      </c>
      <c r="L84" s="131">
        <f t="shared" si="31"/>
        <v>-1</v>
      </c>
      <c r="M84" s="131">
        <f t="shared" si="31"/>
        <v>0</v>
      </c>
      <c r="N84" s="131">
        <f t="shared" si="31"/>
        <v>-1</v>
      </c>
    </row>
    <row r="85" spans="1:14" s="132" customFormat="1" ht="15.75" hidden="1" customHeight="1" outlineLevel="1" x14ac:dyDescent="0.25">
      <c r="A85" s="127"/>
      <c r="B85" s="133" t="s">
        <v>127</v>
      </c>
      <c r="C85" s="134"/>
      <c r="D85" s="134"/>
      <c r="E85" s="134"/>
      <c r="F85" s="134"/>
      <c r="G85" s="134">
        <v>1000</v>
      </c>
      <c r="H85" s="134"/>
      <c r="I85" s="135">
        <f t="shared" si="32"/>
        <v>1000</v>
      </c>
      <c r="J85" s="130" t="s">
        <v>157</v>
      </c>
      <c r="K85" s="131">
        <f t="shared" si="31"/>
        <v>0</v>
      </c>
      <c r="L85" s="131">
        <f t="shared" si="31"/>
        <v>0</v>
      </c>
      <c r="M85" s="131">
        <f t="shared" si="31"/>
        <v>0</v>
      </c>
      <c r="N85" s="131">
        <f t="shared" si="31"/>
        <v>-1</v>
      </c>
    </row>
    <row r="86" spans="1:14" s="132" customFormat="1" ht="15.75" hidden="1" customHeight="1" outlineLevel="1" x14ac:dyDescent="0.25">
      <c r="A86" s="127"/>
      <c r="B86" s="133" t="s">
        <v>88</v>
      </c>
      <c r="C86" s="134">
        <v>500</v>
      </c>
      <c r="D86" s="134">
        <v>500</v>
      </c>
      <c r="E86" s="134">
        <v>500</v>
      </c>
      <c r="F86" s="134">
        <v>500</v>
      </c>
      <c r="G86" s="134">
        <v>500</v>
      </c>
      <c r="H86" s="134">
        <v>500</v>
      </c>
      <c r="I86" s="135">
        <f t="shared" si="32"/>
        <v>2500</v>
      </c>
      <c r="J86" s="130" t="s">
        <v>157</v>
      </c>
      <c r="K86" s="131">
        <f t="shared" si="31"/>
        <v>0</v>
      </c>
      <c r="L86" s="131">
        <f t="shared" si="31"/>
        <v>0</v>
      </c>
      <c r="M86" s="131">
        <f t="shared" si="31"/>
        <v>0</v>
      </c>
      <c r="N86" s="131">
        <f t="shared" si="31"/>
        <v>0</v>
      </c>
    </row>
    <row r="87" spans="1:14" s="132" customFormat="1" ht="15.75" hidden="1" customHeight="1" outlineLevel="1" x14ac:dyDescent="0.25">
      <c r="A87" s="127"/>
      <c r="B87" s="136" t="s">
        <v>105</v>
      </c>
      <c r="C87" s="134">
        <v>1000</v>
      </c>
      <c r="D87" s="134"/>
      <c r="E87" s="134"/>
      <c r="F87" s="134">
        <v>1000</v>
      </c>
      <c r="G87" s="134"/>
      <c r="H87" s="134"/>
      <c r="I87" s="135">
        <f t="shared" si="32"/>
        <v>1000</v>
      </c>
      <c r="J87" s="130" t="s">
        <v>157</v>
      </c>
      <c r="K87" s="131">
        <f t="shared" si="31"/>
        <v>0</v>
      </c>
      <c r="L87" s="131">
        <f t="shared" si="31"/>
        <v>0</v>
      </c>
      <c r="M87" s="131">
        <f t="shared" si="31"/>
        <v>-1</v>
      </c>
      <c r="N87" s="131">
        <f t="shared" si="31"/>
        <v>0</v>
      </c>
    </row>
    <row r="88" spans="1:14" s="132" customFormat="1" ht="15.75" hidden="1" customHeight="1" outlineLevel="1" x14ac:dyDescent="0.25">
      <c r="A88" s="127"/>
      <c r="B88" s="136" t="s">
        <v>106</v>
      </c>
      <c r="C88" s="134">
        <v>1000</v>
      </c>
      <c r="D88" s="134"/>
      <c r="E88" s="134"/>
      <c r="F88" s="134"/>
      <c r="G88" s="134"/>
      <c r="H88" s="134"/>
      <c r="I88" s="135">
        <f t="shared" si="32"/>
        <v>0</v>
      </c>
      <c r="J88" s="130" t="s">
        <v>157</v>
      </c>
      <c r="K88" s="131">
        <f t="shared" si="31"/>
        <v>0</v>
      </c>
      <c r="L88" s="131">
        <f t="shared" si="31"/>
        <v>0</v>
      </c>
      <c r="M88" s="131">
        <f t="shared" si="31"/>
        <v>0</v>
      </c>
      <c r="N88" s="131">
        <f t="shared" si="31"/>
        <v>0</v>
      </c>
    </row>
    <row r="89" spans="1:14" s="132" customFormat="1" ht="15.75" hidden="1" customHeight="1" outlineLevel="1" x14ac:dyDescent="0.25">
      <c r="A89" s="127"/>
      <c r="B89" s="136" t="s">
        <v>107</v>
      </c>
      <c r="C89" s="134">
        <v>1000</v>
      </c>
      <c r="D89" s="134">
        <v>1000</v>
      </c>
      <c r="E89" s="134">
        <v>4000</v>
      </c>
      <c r="F89" s="134">
        <v>5000</v>
      </c>
      <c r="G89" s="134">
        <v>7000</v>
      </c>
      <c r="H89" s="134">
        <v>9000</v>
      </c>
      <c r="I89" s="135">
        <f t="shared" si="32"/>
        <v>26000</v>
      </c>
      <c r="J89" s="130" t="s">
        <v>157</v>
      </c>
      <c r="K89" s="131">
        <f t="shared" si="31"/>
        <v>3</v>
      </c>
      <c r="L89" s="131">
        <f t="shared" si="31"/>
        <v>0.25</v>
      </c>
      <c r="M89" s="131">
        <f t="shared" si="31"/>
        <v>0.39999999999999991</v>
      </c>
      <c r="N89" s="131">
        <f t="shared" si="31"/>
        <v>0.28571428571428581</v>
      </c>
    </row>
    <row r="90" spans="1:14" ht="15.75" hidden="1" customHeight="1" outlineLevel="1" x14ac:dyDescent="0.25">
      <c r="A90" s="14"/>
      <c r="B90" s="30"/>
      <c r="C90" s="29"/>
      <c r="D90" s="101">
        <f>+D80/D$101</f>
        <v>4.4348782478091705E-3</v>
      </c>
      <c r="E90" s="101">
        <f>+E80/E$101</f>
        <v>1.3864583853255227E-2</v>
      </c>
      <c r="F90" s="101">
        <f>+F80/F$101</f>
        <v>1.6551600309130929E-2</v>
      </c>
      <c r="G90" s="101">
        <f>+G80/G$101</f>
        <v>1.766674031062862E-2</v>
      </c>
      <c r="H90" s="101">
        <f>+H80/H$101</f>
        <v>1.7317777619739679E-2</v>
      </c>
      <c r="I90" s="122"/>
      <c r="J90" s="30"/>
      <c r="K90" s="14"/>
    </row>
    <row r="91" spans="1:14" s="86" customFormat="1" ht="15.75" customHeight="1" collapsed="1" x14ac:dyDescent="0.25">
      <c r="A91" s="36"/>
      <c r="B91" s="76" t="s">
        <v>129</v>
      </c>
      <c r="C91" s="76"/>
      <c r="D91" s="84">
        <f>SUM(D92:D99)</f>
        <v>1200</v>
      </c>
      <c r="E91" s="84">
        <f t="shared" ref="E91:H91" si="33">SUM(E92:E99)</f>
        <v>1700</v>
      </c>
      <c r="F91" s="84">
        <f t="shared" si="33"/>
        <v>1900</v>
      </c>
      <c r="G91" s="84">
        <f t="shared" si="33"/>
        <v>2400</v>
      </c>
      <c r="H91" s="84">
        <f t="shared" si="33"/>
        <v>2400</v>
      </c>
      <c r="I91" s="84">
        <f>SUM(D91:H91)</f>
        <v>9600</v>
      </c>
      <c r="J91" s="37"/>
      <c r="K91" s="85">
        <f t="shared" ref="K91:N91" si="34">IFERROR(E91/D91-1,)</f>
        <v>0.41666666666666674</v>
      </c>
      <c r="L91" s="85">
        <f t="shared" si="34"/>
        <v>0.11764705882352944</v>
      </c>
      <c r="M91" s="85">
        <f t="shared" si="34"/>
        <v>0.26315789473684204</v>
      </c>
      <c r="N91" s="85">
        <f t="shared" si="34"/>
        <v>0</v>
      </c>
    </row>
    <row r="92" spans="1:14" s="86" customFormat="1" ht="15.75" hidden="1" customHeight="1" outlineLevel="1" x14ac:dyDescent="0.25">
      <c r="A92" s="36"/>
      <c r="B92" s="87" t="s">
        <v>100</v>
      </c>
      <c r="C92" s="88">
        <v>0.2</v>
      </c>
      <c r="D92" s="89">
        <f>+$C81*$C92</f>
        <v>100</v>
      </c>
      <c r="E92" s="89">
        <f t="shared" ref="E92:H94" si="35">+$C81*$C92</f>
        <v>100</v>
      </c>
      <c r="F92" s="89">
        <f t="shared" si="35"/>
        <v>100</v>
      </c>
      <c r="G92" s="89">
        <f t="shared" si="35"/>
        <v>100</v>
      </c>
      <c r="H92" s="89">
        <f t="shared" si="35"/>
        <v>100</v>
      </c>
      <c r="I92" s="123">
        <f t="shared" ref="I92:I99" si="36">SUM(D92:H92)</f>
        <v>500</v>
      </c>
      <c r="J92" s="98"/>
      <c r="K92" s="36"/>
    </row>
    <row r="93" spans="1:14" s="86" customFormat="1" ht="15.75" hidden="1" customHeight="1" outlineLevel="1" x14ac:dyDescent="0.25">
      <c r="A93" s="38"/>
      <c r="B93" s="87" t="s">
        <v>101</v>
      </c>
      <c r="C93" s="88">
        <v>0.2</v>
      </c>
      <c r="D93" s="89">
        <f>+$C82*$C93</f>
        <v>200</v>
      </c>
      <c r="E93" s="89">
        <f t="shared" si="35"/>
        <v>200</v>
      </c>
      <c r="F93" s="89">
        <f t="shared" si="35"/>
        <v>200</v>
      </c>
      <c r="G93" s="89">
        <f t="shared" si="35"/>
        <v>200</v>
      </c>
      <c r="H93" s="89">
        <f t="shared" si="35"/>
        <v>200</v>
      </c>
      <c r="I93" s="123">
        <f t="shared" si="36"/>
        <v>1000</v>
      </c>
      <c r="J93" s="92"/>
      <c r="K93" s="38"/>
    </row>
    <row r="94" spans="1:14" s="86" customFormat="1" ht="15.75" hidden="1" customHeight="1" outlineLevel="1" x14ac:dyDescent="0.25">
      <c r="A94" s="38"/>
      <c r="B94" s="87" t="s">
        <v>125</v>
      </c>
      <c r="C94" s="88">
        <v>0.5</v>
      </c>
      <c r="D94" s="89">
        <f>+$C83*$C94</f>
        <v>500</v>
      </c>
      <c r="E94" s="89">
        <f t="shared" si="35"/>
        <v>500</v>
      </c>
      <c r="F94" s="89">
        <f t="shared" si="35"/>
        <v>500</v>
      </c>
      <c r="G94" s="89">
        <f t="shared" si="35"/>
        <v>500</v>
      </c>
      <c r="H94" s="89">
        <f t="shared" si="35"/>
        <v>500</v>
      </c>
      <c r="I94" s="123">
        <f t="shared" si="36"/>
        <v>2500</v>
      </c>
      <c r="J94" s="92"/>
      <c r="K94" s="38"/>
    </row>
    <row r="95" spans="1:14" s="86" customFormat="1" ht="15.75" hidden="1" customHeight="1" outlineLevel="1" x14ac:dyDescent="0.25">
      <c r="A95" s="38"/>
      <c r="B95" s="87" t="s">
        <v>126</v>
      </c>
      <c r="C95" s="88">
        <v>0.5</v>
      </c>
      <c r="D95" s="89"/>
      <c r="E95" s="89">
        <f>+$C83*$C95</f>
        <v>500</v>
      </c>
      <c r="F95" s="89">
        <f t="shared" ref="F95:H95" si="37">+$C83*$C95</f>
        <v>500</v>
      </c>
      <c r="G95" s="89">
        <f t="shared" si="37"/>
        <v>500</v>
      </c>
      <c r="H95" s="89">
        <f t="shared" si="37"/>
        <v>500</v>
      </c>
      <c r="I95" s="123">
        <f t="shared" si="36"/>
        <v>2000</v>
      </c>
      <c r="J95" s="92"/>
      <c r="K95" s="38"/>
    </row>
    <row r="96" spans="1:14" s="86" customFormat="1" ht="15.75" hidden="1" customHeight="1" outlineLevel="1" x14ac:dyDescent="0.25">
      <c r="A96" s="38"/>
      <c r="B96" s="87" t="s">
        <v>127</v>
      </c>
      <c r="C96" s="88">
        <v>0.5</v>
      </c>
      <c r="D96" s="89"/>
      <c r="E96" s="89"/>
      <c r="F96" s="89"/>
      <c r="G96" s="89">
        <f>+$C83*$C96</f>
        <v>500</v>
      </c>
      <c r="H96" s="89">
        <f>+$C83*$C96</f>
        <v>500</v>
      </c>
      <c r="I96" s="123">
        <f t="shared" si="36"/>
        <v>1000</v>
      </c>
      <c r="J96" s="92"/>
      <c r="K96" s="38"/>
    </row>
    <row r="97" spans="1:14" s="86" customFormat="1" ht="15.75" hidden="1" customHeight="1" outlineLevel="1" x14ac:dyDescent="0.25">
      <c r="A97" s="38"/>
      <c r="B97" s="90" t="s">
        <v>131</v>
      </c>
      <c r="C97" s="88">
        <v>0.2</v>
      </c>
      <c r="D97" s="89">
        <f>+$C87*$C97</f>
        <v>200</v>
      </c>
      <c r="E97" s="89">
        <f t="shared" ref="E97:H97" si="38">+$C87*$C97</f>
        <v>200</v>
      </c>
      <c r="F97" s="89">
        <f t="shared" si="38"/>
        <v>200</v>
      </c>
      <c r="G97" s="89">
        <f t="shared" si="38"/>
        <v>200</v>
      </c>
      <c r="H97" s="89">
        <f t="shared" si="38"/>
        <v>200</v>
      </c>
      <c r="I97" s="123">
        <f t="shared" si="36"/>
        <v>1000</v>
      </c>
      <c r="J97" s="92"/>
      <c r="K97" s="38"/>
    </row>
    <row r="98" spans="1:14" s="86" customFormat="1" ht="15.75" hidden="1" customHeight="1" outlineLevel="1" x14ac:dyDescent="0.25">
      <c r="A98" s="38"/>
      <c r="B98" s="90" t="s">
        <v>132</v>
      </c>
      <c r="C98" s="88">
        <v>0.2</v>
      </c>
      <c r="D98" s="89"/>
      <c r="E98" s="89"/>
      <c r="F98" s="89">
        <f>+$C87*$C98</f>
        <v>200</v>
      </c>
      <c r="G98" s="89">
        <f t="shared" ref="G98:H98" si="39">+$C87*$C98</f>
        <v>200</v>
      </c>
      <c r="H98" s="89">
        <f t="shared" si="39"/>
        <v>200</v>
      </c>
      <c r="I98" s="123">
        <f t="shared" si="36"/>
        <v>600</v>
      </c>
      <c r="J98" s="40"/>
      <c r="K98" s="38"/>
    </row>
    <row r="99" spans="1:14" s="86" customFormat="1" ht="15.75" hidden="1" customHeight="1" outlineLevel="1" x14ac:dyDescent="0.25">
      <c r="A99" s="38"/>
      <c r="B99" s="90" t="s">
        <v>106</v>
      </c>
      <c r="C99" s="88">
        <v>0.2</v>
      </c>
      <c r="D99" s="89">
        <f>+$C89*$C99</f>
        <v>200</v>
      </c>
      <c r="E99" s="89">
        <f t="shared" ref="E99:H99" si="40">+$C89*$C99</f>
        <v>200</v>
      </c>
      <c r="F99" s="89">
        <f t="shared" si="40"/>
        <v>200</v>
      </c>
      <c r="G99" s="89">
        <f t="shared" si="40"/>
        <v>200</v>
      </c>
      <c r="H99" s="89">
        <f t="shared" si="40"/>
        <v>200</v>
      </c>
      <c r="I99" s="123">
        <f t="shared" si="36"/>
        <v>1000</v>
      </c>
      <c r="J99" s="40"/>
      <c r="K99" s="38"/>
    </row>
    <row r="100" spans="1:14" ht="15.75" customHeight="1" collapsed="1" x14ac:dyDescent="0.25">
      <c r="A100" s="38"/>
      <c r="B100" s="48"/>
      <c r="C100" s="72"/>
      <c r="D100" s="101">
        <f>+D91/D$101</f>
        <v>3.5479025982473361E-3</v>
      </c>
      <c r="E100" s="101">
        <f t="shared" ref="E100:I100" si="41">+E91/E$101</f>
        <v>4.2854168273697979E-3</v>
      </c>
      <c r="F100" s="101">
        <f t="shared" si="41"/>
        <v>4.1930720783131693E-3</v>
      </c>
      <c r="G100" s="101">
        <f t="shared" si="41"/>
        <v>4.4631764995272305E-3</v>
      </c>
      <c r="H100" s="101">
        <f t="shared" si="41"/>
        <v>3.9583491702262124E-3</v>
      </c>
      <c r="I100" s="122">
        <f t="shared" si="41"/>
        <v>4.1164658631018649E-3</v>
      </c>
      <c r="J100" s="40"/>
      <c r="K100" s="38"/>
    </row>
    <row r="101" spans="1:14" ht="15.75" customHeight="1" x14ac:dyDescent="0.25">
      <c r="A101" s="38"/>
      <c r="B101" s="21" t="s">
        <v>39</v>
      </c>
      <c r="C101" s="39"/>
      <c r="D101" s="39">
        <f>D45+D58+D70+D73+D91</f>
        <v>338228</v>
      </c>
      <c r="E101" s="39">
        <f t="shared" ref="E101:H101" si="42">E45+E58+E70+E73+E91</f>
        <v>396694.2</v>
      </c>
      <c r="F101" s="39">
        <f t="shared" si="42"/>
        <v>453128.38999999996</v>
      </c>
      <c r="G101" s="39">
        <f t="shared" si="42"/>
        <v>537733.60750000004</v>
      </c>
      <c r="H101" s="39">
        <f t="shared" si="42"/>
        <v>606313.36367500003</v>
      </c>
      <c r="I101" s="75">
        <f>SUM(D101:H101)</f>
        <v>2332097.5611749999</v>
      </c>
      <c r="J101" s="40"/>
      <c r="K101" s="82">
        <f t="shared" ref="K101:N101" si="43">IFERROR(E101/D101-1,)</f>
        <v>0.17286031907470711</v>
      </c>
      <c r="L101" s="82">
        <f t="shared" si="43"/>
        <v>0.1422611926264612</v>
      </c>
      <c r="M101" s="82">
        <f t="shared" si="43"/>
        <v>0.1867135658836121</v>
      </c>
      <c r="N101" s="82">
        <f t="shared" si="43"/>
        <v>0.127534815043153</v>
      </c>
    </row>
    <row r="102" spans="1:14" ht="15.75" customHeight="1" x14ac:dyDescent="0.25">
      <c r="A102" s="36"/>
      <c r="B102" s="37"/>
      <c r="C102" s="36"/>
      <c r="D102" s="91"/>
      <c r="E102" s="36"/>
      <c r="F102" s="36"/>
      <c r="G102" s="36"/>
      <c r="H102" s="36"/>
      <c r="I102" s="103"/>
      <c r="J102" s="37"/>
      <c r="K102" s="36"/>
    </row>
    <row r="103" spans="1:14" ht="15.75" customHeight="1" x14ac:dyDescent="0.25">
      <c r="A103" s="14"/>
      <c r="B103" s="26" t="s">
        <v>38</v>
      </c>
      <c r="C103" s="26"/>
      <c r="D103" s="25">
        <f>D39-D101</f>
        <v>-81994.75</v>
      </c>
      <c r="E103" s="25">
        <f>E39-E101</f>
        <v>121440.29999999999</v>
      </c>
      <c r="F103" s="25">
        <f>F39-F101</f>
        <v>201624.73500000004</v>
      </c>
      <c r="G103" s="25">
        <f>G39-G101</f>
        <v>370714.3550000001</v>
      </c>
      <c r="H103" s="25">
        <f>H39-H101</f>
        <v>677652.59882500011</v>
      </c>
      <c r="I103" s="25">
        <f>SUM(D103:H103)</f>
        <v>1289437.2388250004</v>
      </c>
      <c r="J103" s="30"/>
      <c r="K103" s="14"/>
    </row>
    <row r="104" spans="1:14" ht="15.75" customHeight="1" x14ac:dyDescent="0.25">
      <c r="A104" s="14"/>
      <c r="B104" s="30" t="s">
        <v>156</v>
      </c>
      <c r="C104" s="15"/>
      <c r="D104" s="29">
        <f>D103*0.25</f>
        <v>-20498.6875</v>
      </c>
      <c r="E104" s="29">
        <f t="shared" ref="E104:H104" si="44">E103*0.25</f>
        <v>30360.074999999997</v>
      </c>
      <c r="F104" s="29">
        <f t="shared" si="44"/>
        <v>50406.183750000011</v>
      </c>
      <c r="G104" s="29">
        <f t="shared" si="44"/>
        <v>92678.588750000024</v>
      </c>
      <c r="H104" s="29">
        <f t="shared" si="44"/>
        <v>169413.14970625003</v>
      </c>
      <c r="I104" s="35">
        <f>SUM(D104:H104)</f>
        <v>322359.30970625009</v>
      </c>
      <c r="J104" s="30"/>
      <c r="K104" s="14"/>
    </row>
    <row r="105" spans="1:14" ht="15.75" customHeight="1" x14ac:dyDescent="0.25">
      <c r="A105" s="14"/>
      <c r="B105" s="26" t="s">
        <v>37</v>
      </c>
      <c r="C105" s="26"/>
      <c r="D105" s="25">
        <f>D103-D104</f>
        <v>-61496.0625</v>
      </c>
      <c r="E105" s="25">
        <f>E103-E104</f>
        <v>91080.224999999991</v>
      </c>
      <c r="F105" s="25">
        <f>F103-F104</f>
        <v>151218.55125000002</v>
      </c>
      <c r="G105" s="25">
        <f>G103-G104</f>
        <v>278035.7662500001</v>
      </c>
      <c r="H105" s="25">
        <f>H103-H104</f>
        <v>508239.44911875005</v>
      </c>
      <c r="I105" s="25">
        <f>SUM(D105:H105)</f>
        <v>967077.92911875015</v>
      </c>
      <c r="J105" s="30"/>
      <c r="K105" s="14"/>
    </row>
    <row r="106" spans="1:14" ht="15.75" customHeight="1" x14ac:dyDescent="0.25">
      <c r="A106" s="14"/>
      <c r="B106" s="28"/>
      <c r="C106" s="15"/>
      <c r="D106" s="15"/>
      <c r="E106" s="15"/>
      <c r="F106" s="15"/>
      <c r="G106" s="15"/>
      <c r="H106" s="15"/>
      <c r="I106" s="15"/>
      <c r="J106" s="30"/>
      <c r="K106" s="14"/>
    </row>
    <row r="107" spans="1:14" ht="15.75" customHeight="1" x14ac:dyDescent="0.25">
      <c r="A107" s="14"/>
      <c r="B107" s="26" t="s">
        <v>28</v>
      </c>
      <c r="C107" s="26"/>
      <c r="D107" s="25">
        <f>D103+D91</f>
        <v>-80794.75</v>
      </c>
      <c r="E107" s="25">
        <f t="shared" ref="E107:H107" si="45">E103+E91</f>
        <v>123140.29999999999</v>
      </c>
      <c r="F107" s="25">
        <f t="shared" si="45"/>
        <v>203524.73500000004</v>
      </c>
      <c r="G107" s="25">
        <f t="shared" si="45"/>
        <v>373114.3550000001</v>
      </c>
      <c r="H107" s="25">
        <f t="shared" si="45"/>
        <v>680052.59882500011</v>
      </c>
      <c r="I107" s="25">
        <f>SUM(D107:H107)</f>
        <v>1299037.2388250004</v>
      </c>
      <c r="J107" s="30"/>
      <c r="K107" s="14"/>
    </row>
    <row r="108" spans="1:14" ht="15.75" customHeight="1" x14ac:dyDescent="0.25">
      <c r="A108" s="14"/>
      <c r="B108" s="28" t="s">
        <v>36</v>
      </c>
      <c r="C108" s="15"/>
      <c r="D108" s="34">
        <f t="shared" ref="D108:I108" si="46">D107/D27</f>
        <v>-0.25755254987217169</v>
      </c>
      <c r="E108" s="34">
        <f t="shared" si="46"/>
        <v>0.19451231455505849</v>
      </c>
      <c r="F108" s="34">
        <f t="shared" si="46"/>
        <v>0.25490776841907509</v>
      </c>
      <c r="G108" s="34">
        <f t="shared" si="46"/>
        <v>0.33713675555991085</v>
      </c>
      <c r="H108" s="34">
        <f t="shared" si="46"/>
        <v>0.43518091235852757</v>
      </c>
      <c r="I108" s="34">
        <f t="shared" si="46"/>
        <v>0.29425909350908763</v>
      </c>
      <c r="K108" s="30"/>
      <c r="L108" s="14"/>
    </row>
    <row r="109" spans="1:14" ht="15.75" customHeight="1" x14ac:dyDescent="0.25">
      <c r="A109" s="14"/>
      <c r="B109" s="28"/>
      <c r="C109" s="15"/>
      <c r="D109" s="15"/>
      <c r="E109" s="15"/>
      <c r="F109" s="15"/>
      <c r="G109" s="15"/>
      <c r="H109" s="15"/>
      <c r="I109" s="15"/>
      <c r="J109" s="30"/>
      <c r="K109" s="14"/>
    </row>
    <row r="110" spans="1:14" ht="15.75" customHeight="1" x14ac:dyDescent="0.25">
      <c r="A110" s="14"/>
      <c r="B110" s="21" t="s">
        <v>34</v>
      </c>
      <c r="C110" s="20"/>
      <c r="D110" s="20" t="s">
        <v>33</v>
      </c>
      <c r="E110" s="20" t="s">
        <v>32</v>
      </c>
      <c r="F110" s="20" t="s">
        <v>31</v>
      </c>
      <c r="G110" s="20" t="s">
        <v>30</v>
      </c>
      <c r="H110" s="20" t="s">
        <v>29</v>
      </c>
      <c r="I110" s="20" t="s">
        <v>35</v>
      </c>
      <c r="J110" s="30"/>
      <c r="K110" s="14"/>
    </row>
    <row r="111" spans="1:14" ht="15.75" customHeight="1" x14ac:dyDescent="0.25">
      <c r="A111" s="14"/>
      <c r="B111" s="28"/>
      <c r="C111" s="15"/>
      <c r="D111" s="15"/>
      <c r="E111" s="15"/>
      <c r="F111" s="15"/>
      <c r="G111" s="15"/>
      <c r="H111" s="15"/>
      <c r="I111" s="15"/>
    </row>
    <row r="112" spans="1:14" ht="15.75" customHeight="1" x14ac:dyDescent="0.25">
      <c r="A112" s="14"/>
      <c r="B112" s="26" t="s">
        <v>28</v>
      </c>
      <c r="C112" s="26"/>
      <c r="D112" s="25">
        <f>D103+D91</f>
        <v>-80794.75</v>
      </c>
      <c r="E112" s="25">
        <f t="shared" ref="E112:H112" si="47">E103+E91</f>
        <v>123140.29999999999</v>
      </c>
      <c r="F112" s="25">
        <f t="shared" si="47"/>
        <v>203524.73500000004</v>
      </c>
      <c r="G112" s="25">
        <f t="shared" si="47"/>
        <v>373114.3550000001</v>
      </c>
      <c r="H112" s="25">
        <f t="shared" si="47"/>
        <v>680052.59882500011</v>
      </c>
      <c r="I112" s="25">
        <f>SUM(D112:H112)</f>
        <v>1299037.2388250004</v>
      </c>
      <c r="K112" s="30" t="s">
        <v>142</v>
      </c>
    </row>
    <row r="113" spans="1:11" ht="15.75" customHeight="1" x14ac:dyDescent="0.25">
      <c r="A113" s="14"/>
      <c r="B113" s="30" t="s">
        <v>27</v>
      </c>
      <c r="C113" s="15"/>
      <c r="D113" s="29">
        <f>-D103*0.25</f>
        <v>20498.6875</v>
      </c>
      <c r="E113" s="29">
        <f t="shared" ref="E113:H113" si="48">-E103*0.25</f>
        <v>-30360.074999999997</v>
      </c>
      <c r="F113" s="29">
        <f t="shared" si="48"/>
        <v>-50406.183750000011</v>
      </c>
      <c r="G113" s="29">
        <f t="shared" si="48"/>
        <v>-92678.588750000024</v>
      </c>
      <c r="H113" s="29">
        <f t="shared" si="48"/>
        <v>-169413.14970625003</v>
      </c>
      <c r="I113" s="29">
        <f>SUM(D113:H113)</f>
        <v>-322359.30970625009</v>
      </c>
      <c r="K113" s="30" t="s">
        <v>143</v>
      </c>
    </row>
    <row r="114" spans="1:11" ht="15.75" customHeight="1" x14ac:dyDescent="0.25">
      <c r="A114" s="14"/>
      <c r="B114" s="30" t="s">
        <v>26</v>
      </c>
      <c r="C114" s="15"/>
      <c r="D114" s="29"/>
      <c r="E114" s="29"/>
      <c r="F114" s="29"/>
      <c r="G114" s="29"/>
      <c r="H114" s="29"/>
      <c r="I114" s="29">
        <f>SUM(D114:H114)</f>
        <v>0</v>
      </c>
      <c r="K114" s="96"/>
    </row>
    <row r="115" spans="1:11" ht="15.75" hidden="1" customHeight="1" x14ac:dyDescent="0.2">
      <c r="A115" s="31"/>
      <c r="B115" s="33" t="s">
        <v>25</v>
      </c>
      <c r="C115" s="31"/>
      <c r="D115" s="32"/>
      <c r="E115" s="32"/>
      <c r="F115" s="32"/>
      <c r="G115" s="32"/>
      <c r="H115" s="32"/>
      <c r="I115" s="32"/>
      <c r="K115" s="99"/>
    </row>
    <row r="116" spans="1:11" ht="15.75" customHeight="1" x14ac:dyDescent="0.25">
      <c r="A116" s="14"/>
      <c r="B116" s="30" t="s">
        <v>24</v>
      </c>
      <c r="C116" s="15"/>
      <c r="D116" s="29">
        <f>-D80</f>
        <v>-1500</v>
      </c>
      <c r="E116" s="29">
        <f t="shared" ref="E116:H116" si="49">-E80</f>
        <v>-5500</v>
      </c>
      <c r="F116" s="29">
        <f t="shared" si="49"/>
        <v>-7500</v>
      </c>
      <c r="G116" s="29">
        <f t="shared" si="49"/>
        <v>-9500</v>
      </c>
      <c r="H116" s="29">
        <f t="shared" si="49"/>
        <v>-10500</v>
      </c>
      <c r="I116" s="29">
        <f>SUM(D116:H116)</f>
        <v>-34500</v>
      </c>
      <c r="K116" s="100"/>
    </row>
    <row r="117" spans="1:11" ht="15.75" customHeight="1" x14ac:dyDescent="0.25">
      <c r="A117" s="14"/>
      <c r="B117" s="26" t="s">
        <v>23</v>
      </c>
      <c r="C117" s="25">
        <f>-C80-80000</f>
        <v>-86000</v>
      </c>
      <c r="D117" s="25">
        <f>D112+D113+D114+D116</f>
        <v>-61796.0625</v>
      </c>
      <c r="E117" s="25">
        <f t="shared" ref="E117:H117" si="50">E112+E113+E114+E116</f>
        <v>87280.224999999991</v>
      </c>
      <c r="F117" s="25">
        <f t="shared" si="50"/>
        <v>145618.55125000002</v>
      </c>
      <c r="G117" s="25">
        <f t="shared" si="50"/>
        <v>270935.7662500001</v>
      </c>
      <c r="H117" s="25">
        <f t="shared" si="50"/>
        <v>500139.44911875005</v>
      </c>
      <c r="I117" s="25">
        <f>SUM(D117:H117)</f>
        <v>942177.92911875015</v>
      </c>
      <c r="K117" s="30"/>
    </row>
    <row r="118" spans="1:11" ht="15.75" customHeight="1" x14ac:dyDescent="0.25">
      <c r="A118" s="14"/>
      <c r="B118" s="28" t="s">
        <v>22</v>
      </c>
      <c r="C118" s="15"/>
      <c r="D118" s="15"/>
      <c r="E118" s="15"/>
      <c r="F118" s="15"/>
      <c r="G118" s="15"/>
      <c r="H118" s="22">
        <f>((H117*1.1)/(D$125-D$126))*0</f>
        <v>0</v>
      </c>
      <c r="I118" s="15"/>
      <c r="K118" s="30" t="s">
        <v>139</v>
      </c>
    </row>
    <row r="119" spans="1:11" ht="15.75" customHeight="1" x14ac:dyDescent="0.25">
      <c r="A119" s="14"/>
      <c r="B119" s="26" t="s">
        <v>21</v>
      </c>
      <c r="C119" s="25">
        <f>C117</f>
        <v>-86000</v>
      </c>
      <c r="D119" s="24">
        <f>D117</f>
        <v>-61796.0625</v>
      </c>
      <c r="E119" s="24">
        <f>E117</f>
        <v>87280.224999999991</v>
      </c>
      <c r="F119" s="24">
        <f>F117</f>
        <v>145618.55125000002</v>
      </c>
      <c r="G119" s="24">
        <f>G117</f>
        <v>270935.7662500001</v>
      </c>
      <c r="H119" s="24">
        <f>H117+H118</f>
        <v>500139.44911875005</v>
      </c>
      <c r="I119" s="15"/>
      <c r="K119" s="30"/>
    </row>
    <row r="120" spans="1:11" ht="15.75" customHeight="1" x14ac:dyDescent="0.25">
      <c r="A120" s="14"/>
      <c r="B120" s="15"/>
      <c r="C120" s="15"/>
      <c r="D120" s="15"/>
      <c r="E120" s="22"/>
      <c r="F120" s="22"/>
      <c r="G120" s="22"/>
      <c r="H120" s="22"/>
      <c r="I120" s="15"/>
      <c r="K120" s="30"/>
    </row>
    <row r="121" spans="1:11" ht="15.75" customHeight="1" x14ac:dyDescent="0.25">
      <c r="A121" s="14"/>
      <c r="B121" s="26" t="s">
        <v>20</v>
      </c>
      <c r="C121" s="25">
        <f>C119</f>
        <v>-86000</v>
      </c>
      <c r="D121" s="24">
        <f>D119/(1+$D$125)^1</f>
        <v>-53735.706521739135</v>
      </c>
      <c r="E121" s="24">
        <f>E119/(1+$D$125)^2</f>
        <v>65996.389413988669</v>
      </c>
      <c r="F121" s="24">
        <f>F119/(1+$D$125)^3</f>
        <v>95746.561190104418</v>
      </c>
      <c r="G121" s="24">
        <f>G119/(1+$D$125)^4</f>
        <v>154908.40370067299</v>
      </c>
      <c r="H121" s="24">
        <f>H119/(1+$D$125)^5</f>
        <v>248657.69850674531</v>
      </c>
      <c r="I121" s="15"/>
      <c r="J121" s="30"/>
      <c r="K121" s="14"/>
    </row>
    <row r="122" spans="1:11" ht="15.75" customHeight="1" x14ac:dyDescent="0.25">
      <c r="A122" s="14"/>
      <c r="B122" s="15"/>
      <c r="C122" s="23"/>
      <c r="D122" s="23"/>
      <c r="E122" s="23"/>
      <c r="F122" s="23"/>
      <c r="G122" s="23"/>
      <c r="H122" s="23"/>
      <c r="I122" s="22"/>
      <c r="J122" s="30"/>
      <c r="K122" s="14"/>
    </row>
    <row r="123" spans="1:11" ht="15.75" customHeight="1" x14ac:dyDescent="0.25">
      <c r="A123" s="14"/>
      <c r="B123" s="21" t="s">
        <v>19</v>
      </c>
      <c r="C123" s="20"/>
      <c r="D123" s="20"/>
      <c r="E123" s="20"/>
      <c r="F123" s="20"/>
      <c r="G123" s="20"/>
      <c r="H123" s="19">
        <f t="array" ref="H123">NPV(D125,D119:H119)+C119</f>
        <v>425573.34628977231</v>
      </c>
      <c r="I123" s="15"/>
      <c r="J123" s="30"/>
      <c r="K123" s="14"/>
    </row>
    <row r="124" spans="1:11" ht="15.75" customHeight="1" x14ac:dyDescent="0.25">
      <c r="A124" s="14"/>
      <c r="B124" s="15"/>
      <c r="C124" s="15"/>
      <c r="D124" s="15"/>
      <c r="E124" s="15"/>
      <c r="F124" s="15"/>
      <c r="G124" s="15"/>
      <c r="H124" s="104">
        <f>SUM(C121:H121)-H123</f>
        <v>0</v>
      </c>
      <c r="I124" s="15"/>
      <c r="J124" s="30"/>
      <c r="K124" s="14"/>
    </row>
    <row r="125" spans="1:11" ht="15.75" customHeight="1" x14ac:dyDescent="0.25">
      <c r="A125" s="14"/>
      <c r="B125" s="11" t="s">
        <v>18</v>
      </c>
      <c r="C125" s="17"/>
      <c r="D125" s="12">
        <f>'[1]Flujos_x segmento_x mes Año 1'!P171</f>
        <v>0.15</v>
      </c>
      <c r="F125" s="15"/>
      <c r="G125" s="15"/>
      <c r="H125" s="18"/>
      <c r="I125" s="15"/>
      <c r="J125" s="30"/>
      <c r="K125" s="28"/>
    </row>
    <row r="126" spans="1:11" ht="15.75" customHeight="1" x14ac:dyDescent="0.25">
      <c r="A126" s="14"/>
      <c r="B126" s="11" t="s">
        <v>17</v>
      </c>
      <c r="C126" s="17"/>
      <c r="D126" s="12">
        <f>'[1]Flujos_x segmento_x mes Año 1'!P172</f>
        <v>0.02</v>
      </c>
      <c r="E126" s="6" t="s">
        <v>155</v>
      </c>
      <c r="F126" s="15"/>
      <c r="G126" s="15"/>
      <c r="H126" s="16"/>
      <c r="I126" s="15"/>
      <c r="J126" s="30"/>
      <c r="K126" s="15"/>
    </row>
    <row r="127" spans="1:11" ht="15.75" customHeight="1" x14ac:dyDescent="0.25">
      <c r="B127" s="11" t="s">
        <v>16</v>
      </c>
      <c r="C127" s="13"/>
      <c r="D127" s="12">
        <f>IRR(C119:H119,0)</f>
        <v>0.721609565516524</v>
      </c>
    </row>
    <row r="128" spans="1:11" ht="15.75" customHeight="1" x14ac:dyDescent="0.25">
      <c r="B128" s="11"/>
      <c r="C128" s="11"/>
      <c r="D128" s="10"/>
    </row>
    <row r="129" spans="2:10" ht="15.75" customHeight="1" x14ac:dyDescent="0.2"/>
    <row r="130" spans="2:10" ht="15.75" customHeight="1" x14ac:dyDescent="0.25">
      <c r="B130" s="8" t="s">
        <v>15</v>
      </c>
      <c r="C130" s="9"/>
      <c r="D130" s="9"/>
      <c r="E130" s="9"/>
      <c r="F130" s="9"/>
      <c r="G130" s="9"/>
      <c r="H130" s="7">
        <f>-C121/H123</f>
        <v>0.20208032469552903</v>
      </c>
      <c r="J130" s="6"/>
    </row>
    <row r="131" spans="2:10" ht="15.75" customHeight="1" x14ac:dyDescent="0.2">
      <c r="J131" s="6"/>
    </row>
    <row r="132" spans="2:10" ht="15.75" customHeight="1" x14ac:dyDescent="0.2">
      <c r="C132" s="65"/>
      <c r="D132" s="65"/>
      <c r="E132" s="65"/>
      <c r="F132" s="65"/>
      <c r="G132" s="65"/>
      <c r="H132" s="65"/>
      <c r="I132" s="65"/>
      <c r="J132" s="6"/>
    </row>
    <row r="133" spans="2:10" ht="15.75" customHeight="1" x14ac:dyDescent="0.2">
      <c r="B133" s="65"/>
      <c r="C133" s="65"/>
      <c r="D133" s="65"/>
      <c r="E133" s="65"/>
      <c r="F133" s="65"/>
      <c r="G133" s="65"/>
      <c r="H133" s="65"/>
      <c r="I133" s="65"/>
      <c r="J133" s="6"/>
    </row>
    <row r="134" spans="2:10" ht="15.75" customHeight="1" x14ac:dyDescent="0.2">
      <c r="C134" s="65"/>
      <c r="D134" s="65"/>
      <c r="E134" s="65"/>
      <c r="F134" s="65"/>
      <c r="G134" s="65"/>
      <c r="H134" s="65"/>
      <c r="I134" s="65"/>
      <c r="J134" s="6"/>
    </row>
    <row r="135" spans="2:10" ht="15.75" customHeight="1" x14ac:dyDescent="0.2">
      <c r="C135" s="65"/>
      <c r="D135" s="65"/>
      <c r="E135" s="65"/>
      <c r="F135" s="65"/>
      <c r="G135" s="65"/>
      <c r="H135" s="65"/>
      <c r="I135" s="65"/>
      <c r="J135" s="6"/>
    </row>
    <row r="136" spans="2:10" ht="15.75" customHeight="1" x14ac:dyDescent="0.2">
      <c r="C136" s="65"/>
      <c r="D136" s="65"/>
      <c r="E136" s="65"/>
      <c r="F136" s="65"/>
      <c r="G136" s="65"/>
      <c r="H136" s="65"/>
      <c r="I136" s="65"/>
      <c r="J136" s="6"/>
    </row>
    <row r="137" spans="2:10" ht="15.75" customHeight="1" x14ac:dyDescent="0.2">
      <c r="C137" s="65"/>
      <c r="D137" s="65"/>
      <c r="E137" s="65"/>
      <c r="F137" s="65"/>
      <c r="G137" s="65"/>
      <c r="H137" s="65"/>
      <c r="I137" s="65"/>
      <c r="J137" s="6"/>
    </row>
    <row r="138" spans="2:10" ht="15.75" customHeight="1" x14ac:dyDescent="0.2">
      <c r="C138" s="65"/>
      <c r="D138" s="65"/>
      <c r="E138" s="65"/>
      <c r="F138" s="65"/>
      <c r="G138" s="65"/>
      <c r="H138" s="65"/>
      <c r="I138" s="65"/>
      <c r="J138" s="6"/>
    </row>
    <row r="139" spans="2:10" ht="15.75" customHeight="1" x14ac:dyDescent="0.2">
      <c r="C139" s="65"/>
      <c r="D139" s="65"/>
      <c r="E139" s="65"/>
      <c r="F139" s="65"/>
      <c r="G139" s="65"/>
      <c r="H139" s="65"/>
      <c r="I139" s="65"/>
      <c r="J139" s="6"/>
    </row>
    <row r="140" spans="2:10" ht="15.75" customHeight="1" x14ac:dyDescent="0.2">
      <c r="C140" s="65"/>
      <c r="D140" s="65"/>
      <c r="E140" s="65"/>
      <c r="F140" s="65"/>
      <c r="G140" s="65"/>
      <c r="H140" s="65"/>
      <c r="I140" s="65"/>
      <c r="J140" s="6"/>
    </row>
    <row r="141" spans="2:10" ht="15.75" customHeight="1" x14ac:dyDescent="0.2">
      <c r="J141" s="6"/>
    </row>
    <row r="142" spans="2:10" ht="15.75" customHeight="1" x14ac:dyDescent="0.2">
      <c r="J142" s="6"/>
    </row>
    <row r="143" spans="2:10" ht="15.75" customHeight="1" x14ac:dyDescent="0.2">
      <c r="J143" s="6"/>
    </row>
    <row r="144" spans="2:10" ht="15.75" customHeight="1" x14ac:dyDescent="0.2">
      <c r="J144" s="6"/>
    </row>
    <row r="145" spans="10:10" ht="15.75" customHeight="1" x14ac:dyDescent="0.2">
      <c r="J145" s="6"/>
    </row>
    <row r="146" spans="10:10" ht="15.75" customHeight="1" x14ac:dyDescent="0.2">
      <c r="J146" s="6"/>
    </row>
    <row r="147" spans="10:10" ht="15.75" customHeight="1" x14ac:dyDescent="0.2">
      <c r="J147" s="6"/>
    </row>
    <row r="148" spans="10:10" ht="15.75" customHeight="1" x14ac:dyDescent="0.2">
      <c r="J148" s="6"/>
    </row>
    <row r="149" spans="10:10" ht="15.75" customHeight="1" x14ac:dyDescent="0.2">
      <c r="J149" s="6"/>
    </row>
    <row r="150" spans="10:10" ht="15.75" customHeight="1" x14ac:dyDescent="0.2">
      <c r="J150" s="6"/>
    </row>
    <row r="151" spans="10:10" ht="15.75" customHeight="1" x14ac:dyDescent="0.2">
      <c r="J151" s="6"/>
    </row>
    <row r="152" spans="10:10" ht="15.75" customHeight="1" x14ac:dyDescent="0.2">
      <c r="J152" s="6"/>
    </row>
    <row r="153" spans="10:10" ht="15.75" customHeight="1" x14ac:dyDescent="0.2">
      <c r="J153" s="6"/>
    </row>
    <row r="154" spans="10:10" ht="15.75" customHeight="1" x14ac:dyDescent="0.2">
      <c r="J154" s="6"/>
    </row>
    <row r="155" spans="10:10" ht="15.75" customHeight="1" x14ac:dyDescent="0.2">
      <c r="J155" s="6"/>
    </row>
    <row r="156" spans="10:10" ht="15.75" customHeight="1" x14ac:dyDescent="0.2">
      <c r="J156" s="6"/>
    </row>
    <row r="157" spans="10:10" ht="15.75" customHeight="1" x14ac:dyDescent="0.2">
      <c r="J157" s="6"/>
    </row>
    <row r="158" spans="10:10" ht="15.75" customHeight="1" x14ac:dyDescent="0.2">
      <c r="J158" s="6"/>
    </row>
    <row r="159" spans="10:10" ht="15.75" customHeight="1" x14ac:dyDescent="0.2">
      <c r="J159" s="6"/>
    </row>
    <row r="160" spans="10:10" ht="15.75" customHeight="1" x14ac:dyDescent="0.2">
      <c r="J160" s="6"/>
    </row>
    <row r="161" spans="10:10" ht="15.75" customHeight="1" x14ac:dyDescent="0.2">
      <c r="J161" s="6"/>
    </row>
    <row r="162" spans="10:10" ht="15.75" customHeight="1" x14ac:dyDescent="0.2">
      <c r="J162" s="6"/>
    </row>
    <row r="163" spans="10:10" ht="15.75" customHeight="1" x14ac:dyDescent="0.2">
      <c r="J163" s="6"/>
    </row>
    <row r="164" spans="10:10" ht="15.75" customHeight="1" x14ac:dyDescent="0.2">
      <c r="J164" s="6"/>
    </row>
    <row r="165" spans="10:10" ht="15.75" customHeight="1" x14ac:dyDescent="0.2">
      <c r="J165" s="6"/>
    </row>
    <row r="166" spans="10:10" ht="15.75" customHeight="1" x14ac:dyDescent="0.2">
      <c r="J166" s="6"/>
    </row>
    <row r="167" spans="10:10" ht="15.75" customHeight="1" x14ac:dyDescent="0.2">
      <c r="J167" s="6"/>
    </row>
    <row r="168" spans="10:10" ht="15.75" customHeight="1" x14ac:dyDescent="0.2">
      <c r="J168" s="6"/>
    </row>
    <row r="169" spans="10:10" ht="15.75" customHeight="1" x14ac:dyDescent="0.2">
      <c r="J169" s="6"/>
    </row>
    <row r="170" spans="10:10" ht="15.75" customHeight="1" x14ac:dyDescent="0.2">
      <c r="J170" s="6"/>
    </row>
    <row r="171" spans="10:10" ht="15.75" customHeight="1" x14ac:dyDescent="0.2">
      <c r="J171" s="6"/>
    </row>
    <row r="172" spans="10:10" ht="15.75" customHeight="1" x14ac:dyDescent="0.2">
      <c r="J172" s="6"/>
    </row>
    <row r="173" spans="10:10" ht="15.75" customHeight="1" x14ac:dyDescent="0.2">
      <c r="J173" s="6"/>
    </row>
    <row r="174" spans="10:10" ht="15.75" customHeight="1" x14ac:dyDescent="0.2">
      <c r="J174" s="6"/>
    </row>
    <row r="175" spans="10:10" ht="15.75" customHeight="1" x14ac:dyDescent="0.2">
      <c r="J175" s="6"/>
    </row>
    <row r="176" spans="10:10" ht="15.75" customHeight="1" x14ac:dyDescent="0.2">
      <c r="J176" s="6"/>
    </row>
    <row r="177" spans="10:10" ht="15.75" customHeight="1" x14ac:dyDescent="0.2">
      <c r="J177" s="6"/>
    </row>
    <row r="178" spans="10:10" ht="15.75" customHeight="1" x14ac:dyDescent="0.2">
      <c r="J178" s="6"/>
    </row>
    <row r="179" spans="10:10" ht="15.75" customHeight="1" x14ac:dyDescent="0.2">
      <c r="J179" s="6"/>
    </row>
    <row r="180" spans="10:10" ht="15.75" customHeight="1" x14ac:dyDescent="0.2">
      <c r="J180" s="6"/>
    </row>
    <row r="181" spans="10:10" ht="15.75" customHeight="1" x14ac:dyDescent="0.2">
      <c r="J181" s="6"/>
    </row>
    <row r="182" spans="10:10" ht="15.75" customHeight="1" x14ac:dyDescent="0.2">
      <c r="J182" s="6"/>
    </row>
    <row r="183" spans="10:10" ht="15.75" customHeight="1" x14ac:dyDescent="0.2">
      <c r="J183" s="6"/>
    </row>
    <row r="184" spans="10:10" ht="15.75" customHeight="1" x14ac:dyDescent="0.2">
      <c r="J184" s="6"/>
    </row>
    <row r="185" spans="10:10" ht="15.75" customHeight="1" x14ac:dyDescent="0.2">
      <c r="J185" s="6"/>
    </row>
    <row r="186" spans="10:10" ht="15.75" customHeight="1" x14ac:dyDescent="0.2">
      <c r="J186" s="6"/>
    </row>
    <row r="187" spans="10:10" ht="15.75" customHeight="1" x14ac:dyDescent="0.2">
      <c r="J187" s="6"/>
    </row>
    <row r="188" spans="10:10" ht="15.75" customHeight="1" x14ac:dyDescent="0.2">
      <c r="J188" s="6"/>
    </row>
    <row r="189" spans="10:10" ht="15.75" customHeight="1" x14ac:dyDescent="0.2">
      <c r="J189" s="6"/>
    </row>
    <row r="190" spans="10:10" ht="15.75" customHeight="1" x14ac:dyDescent="0.2">
      <c r="J190" s="6"/>
    </row>
    <row r="191" spans="10:10" ht="15.75" customHeight="1" x14ac:dyDescent="0.2">
      <c r="J191" s="6"/>
    </row>
    <row r="192" spans="10:10" ht="15.75" customHeight="1" x14ac:dyDescent="0.2">
      <c r="J192" s="6"/>
    </row>
    <row r="193" spans="10:10" ht="15.75" customHeight="1" x14ac:dyDescent="0.2">
      <c r="J193" s="6"/>
    </row>
    <row r="194" spans="10:10" ht="15.75" customHeight="1" x14ac:dyDescent="0.2">
      <c r="J194" s="6"/>
    </row>
    <row r="195" spans="10:10" ht="15.75" customHeight="1" x14ac:dyDescent="0.2">
      <c r="J195" s="6"/>
    </row>
    <row r="196" spans="10:10" ht="15.75" customHeight="1" x14ac:dyDescent="0.2">
      <c r="J196" s="6"/>
    </row>
    <row r="197" spans="10:10" ht="15.75" customHeight="1" x14ac:dyDescent="0.2">
      <c r="J197" s="6"/>
    </row>
    <row r="198" spans="10:10" ht="15.75" customHeight="1" x14ac:dyDescent="0.2">
      <c r="J198" s="6"/>
    </row>
    <row r="199" spans="10:10" ht="15.75" customHeight="1" x14ac:dyDescent="0.2">
      <c r="J199" s="6"/>
    </row>
    <row r="200" spans="10:10" ht="15.75" customHeight="1" x14ac:dyDescent="0.2">
      <c r="J200" s="6"/>
    </row>
    <row r="201" spans="10:10" ht="15.75" customHeight="1" x14ac:dyDescent="0.2">
      <c r="J201" s="6"/>
    </row>
    <row r="202" spans="10:10" ht="15.75" customHeight="1" x14ac:dyDescent="0.2">
      <c r="J202" s="6"/>
    </row>
    <row r="203" spans="10:10" ht="15.75" customHeight="1" x14ac:dyDescent="0.2">
      <c r="J203" s="6"/>
    </row>
    <row r="204" spans="10:10" ht="15.75" customHeight="1" x14ac:dyDescent="0.2">
      <c r="J204" s="6"/>
    </row>
    <row r="205" spans="10:10" ht="15.75" customHeight="1" x14ac:dyDescent="0.2">
      <c r="J205" s="6"/>
    </row>
    <row r="206" spans="10:10" ht="15.75" customHeight="1" x14ac:dyDescent="0.2">
      <c r="J206" s="6"/>
    </row>
    <row r="207" spans="10:10" ht="15.75" customHeight="1" x14ac:dyDescent="0.2">
      <c r="J207" s="6"/>
    </row>
    <row r="208" spans="10:10" ht="15.75" customHeight="1" x14ac:dyDescent="0.2">
      <c r="J208" s="6"/>
    </row>
    <row r="209" spans="10:10" ht="15.75" customHeight="1" x14ac:dyDescent="0.2">
      <c r="J209" s="6"/>
    </row>
    <row r="210" spans="10:10" ht="15.75" customHeight="1" x14ac:dyDescent="0.2">
      <c r="J210" s="6"/>
    </row>
    <row r="211" spans="10:10" ht="15.75" customHeight="1" x14ac:dyDescent="0.2">
      <c r="J211" s="6"/>
    </row>
    <row r="212" spans="10:10" ht="15.75" customHeight="1" x14ac:dyDescent="0.2">
      <c r="J212" s="6"/>
    </row>
    <row r="213" spans="10:10" ht="15.75" customHeight="1" x14ac:dyDescent="0.2">
      <c r="J213" s="6"/>
    </row>
    <row r="214" spans="10:10" ht="15.75" customHeight="1" x14ac:dyDescent="0.2">
      <c r="J214" s="6"/>
    </row>
    <row r="215" spans="10:10" ht="15.75" customHeight="1" x14ac:dyDescent="0.2">
      <c r="J215" s="6"/>
    </row>
    <row r="216" spans="10:10" ht="15.75" customHeight="1" x14ac:dyDescent="0.2">
      <c r="J216" s="6"/>
    </row>
    <row r="217" spans="10:10" ht="15.75" customHeight="1" x14ac:dyDescent="0.2">
      <c r="J217" s="6"/>
    </row>
    <row r="218" spans="10:10" ht="15.75" customHeight="1" x14ac:dyDescent="0.2">
      <c r="J218" s="6"/>
    </row>
    <row r="219" spans="10:10" ht="15.75" customHeight="1" x14ac:dyDescent="0.2">
      <c r="J219" s="6"/>
    </row>
    <row r="220" spans="10:10" ht="15.75" customHeight="1" x14ac:dyDescent="0.2">
      <c r="J220" s="6"/>
    </row>
    <row r="221" spans="10:10" ht="15.75" customHeight="1" x14ac:dyDescent="0.2">
      <c r="J221" s="6"/>
    </row>
    <row r="222" spans="10:10" ht="15.75" customHeight="1" x14ac:dyDescent="0.2">
      <c r="J222" s="6"/>
    </row>
    <row r="223" spans="10:10" ht="15.75" customHeight="1" x14ac:dyDescent="0.2">
      <c r="J223" s="6"/>
    </row>
    <row r="224" spans="10:10" ht="15.75" customHeight="1" x14ac:dyDescent="0.2">
      <c r="J224" s="6"/>
    </row>
    <row r="225" spans="10:10" ht="15.75" customHeight="1" x14ac:dyDescent="0.2">
      <c r="J225" s="6"/>
    </row>
    <row r="226" spans="10:10" ht="15.75" customHeight="1" x14ac:dyDescent="0.2">
      <c r="J226" s="6"/>
    </row>
    <row r="227" spans="10:10" ht="15.75" customHeight="1" x14ac:dyDescent="0.2">
      <c r="J227" s="6"/>
    </row>
    <row r="228" spans="10:10" ht="15.75" customHeight="1" x14ac:dyDescent="0.2">
      <c r="J228" s="6"/>
    </row>
    <row r="229" spans="10:10" ht="15.75" customHeight="1" x14ac:dyDescent="0.2">
      <c r="J229" s="6"/>
    </row>
    <row r="230" spans="10:10" ht="15.75" customHeight="1" x14ac:dyDescent="0.2">
      <c r="J230" s="6"/>
    </row>
    <row r="231" spans="10:10" ht="15.75" customHeight="1" x14ac:dyDescent="0.2">
      <c r="J231" s="6"/>
    </row>
    <row r="232" spans="10:10" ht="15.75" customHeight="1" x14ac:dyDescent="0.2">
      <c r="J232" s="6"/>
    </row>
    <row r="233" spans="10:10" ht="15.75" customHeight="1" x14ac:dyDescent="0.2">
      <c r="J233" s="6"/>
    </row>
    <row r="234" spans="10:10" ht="15.75" customHeight="1" x14ac:dyDescent="0.2">
      <c r="J234" s="6"/>
    </row>
    <row r="235" spans="10:10" ht="15.75" customHeight="1" x14ac:dyDescent="0.2">
      <c r="J235" s="6"/>
    </row>
    <row r="236" spans="10:10" ht="15.75" customHeight="1" x14ac:dyDescent="0.2">
      <c r="J236" s="6"/>
    </row>
    <row r="237" spans="10:10" ht="15.75" customHeight="1" x14ac:dyDescent="0.2">
      <c r="J237" s="6"/>
    </row>
    <row r="238" spans="10:10" ht="15.75" customHeight="1" x14ac:dyDescent="0.2">
      <c r="J238" s="6"/>
    </row>
    <row r="239" spans="10:10" ht="15.75" customHeight="1" x14ac:dyDescent="0.2">
      <c r="J239" s="6"/>
    </row>
    <row r="240" spans="10:10" ht="15.75" customHeight="1" x14ac:dyDescent="0.2">
      <c r="J240" s="6"/>
    </row>
    <row r="241" spans="10:10" ht="15.75" customHeight="1" x14ac:dyDescent="0.2">
      <c r="J241" s="6"/>
    </row>
    <row r="242" spans="10:10" ht="15.75" customHeight="1" x14ac:dyDescent="0.2">
      <c r="J242" s="6"/>
    </row>
    <row r="243" spans="10:10" ht="15.75" customHeight="1" x14ac:dyDescent="0.2">
      <c r="J243" s="6"/>
    </row>
    <row r="244" spans="10:10" ht="15.75" customHeight="1" x14ac:dyDescent="0.2">
      <c r="J244" s="6"/>
    </row>
    <row r="245" spans="10:10" ht="15.75" customHeight="1" x14ac:dyDescent="0.2">
      <c r="J245" s="6"/>
    </row>
    <row r="246" spans="10:10" ht="15.75" customHeight="1" x14ac:dyDescent="0.2">
      <c r="J246" s="6"/>
    </row>
    <row r="247" spans="10:10" ht="15.75" customHeight="1" x14ac:dyDescent="0.2">
      <c r="J247" s="6"/>
    </row>
    <row r="248" spans="10:10" ht="15.75" customHeight="1" x14ac:dyDescent="0.2">
      <c r="J248" s="6"/>
    </row>
    <row r="249" spans="10:10" ht="15.75" customHeight="1" x14ac:dyDescent="0.2">
      <c r="J249" s="6"/>
    </row>
    <row r="250" spans="10:10" ht="15.75" customHeight="1" x14ac:dyDescent="0.2">
      <c r="J250" s="6"/>
    </row>
    <row r="251" spans="10:10" ht="15.75" customHeight="1" x14ac:dyDescent="0.2">
      <c r="J251" s="6"/>
    </row>
    <row r="252" spans="10:10" ht="15.75" customHeight="1" x14ac:dyDescent="0.2">
      <c r="J252" s="6"/>
    </row>
    <row r="253" spans="10:10" ht="15.75" customHeight="1" x14ac:dyDescent="0.2">
      <c r="J253" s="6"/>
    </row>
    <row r="254" spans="10:10" ht="15.75" customHeight="1" x14ac:dyDescent="0.2">
      <c r="J254" s="6"/>
    </row>
    <row r="255" spans="10:10" ht="15.75" customHeight="1" x14ac:dyDescent="0.2">
      <c r="J255" s="6"/>
    </row>
    <row r="256" spans="10:10" ht="15.75" customHeight="1" x14ac:dyDescent="0.2">
      <c r="J256" s="6"/>
    </row>
    <row r="257" spans="10:10" ht="15.75" customHeight="1" x14ac:dyDescent="0.2">
      <c r="J257" s="6"/>
    </row>
    <row r="258" spans="10:10" ht="15.75" customHeight="1" x14ac:dyDescent="0.2">
      <c r="J258" s="6"/>
    </row>
    <row r="259" spans="10:10" ht="15.75" customHeight="1" x14ac:dyDescent="0.2">
      <c r="J259" s="6"/>
    </row>
    <row r="260" spans="10:10" ht="15.75" customHeight="1" x14ac:dyDescent="0.2">
      <c r="J260" s="6"/>
    </row>
    <row r="261" spans="10:10" ht="15.75" customHeight="1" x14ac:dyDescent="0.2">
      <c r="J261" s="6"/>
    </row>
    <row r="262" spans="10:10" ht="15.75" customHeight="1" x14ac:dyDescent="0.2">
      <c r="J262" s="6"/>
    </row>
    <row r="263" spans="10:10" ht="15.75" customHeight="1" x14ac:dyDescent="0.2">
      <c r="J263" s="6"/>
    </row>
    <row r="264" spans="10:10" ht="15.75" customHeight="1" x14ac:dyDescent="0.2">
      <c r="J264" s="6"/>
    </row>
    <row r="265" spans="10:10" ht="15.75" customHeight="1" x14ac:dyDescent="0.2">
      <c r="J265" s="6"/>
    </row>
    <row r="266" spans="10:10" ht="15.75" customHeight="1" x14ac:dyDescent="0.2">
      <c r="J266" s="6"/>
    </row>
    <row r="267" spans="10:10" ht="15.75" customHeight="1" x14ac:dyDescent="0.2">
      <c r="J267" s="6"/>
    </row>
    <row r="268" spans="10:10" ht="15.75" customHeight="1" x14ac:dyDescent="0.2">
      <c r="J268" s="6"/>
    </row>
    <row r="269" spans="10:10" ht="15.75" customHeight="1" x14ac:dyDescent="0.2">
      <c r="J269" s="6"/>
    </row>
    <row r="270" spans="10:10" ht="15.75" customHeight="1" x14ac:dyDescent="0.2">
      <c r="J270" s="6"/>
    </row>
    <row r="271" spans="10:10" ht="15.75" customHeight="1" x14ac:dyDescent="0.2">
      <c r="J271" s="6"/>
    </row>
    <row r="272" spans="10:10" ht="15.75" customHeight="1" x14ac:dyDescent="0.2">
      <c r="J272" s="6"/>
    </row>
    <row r="273" spans="10:10" ht="15.75" customHeight="1" x14ac:dyDescent="0.2">
      <c r="J273" s="6"/>
    </row>
    <row r="274" spans="10:10" ht="15.75" customHeight="1" x14ac:dyDescent="0.2">
      <c r="J274" s="6"/>
    </row>
    <row r="275" spans="10:10" ht="15.75" customHeight="1" x14ac:dyDescent="0.2">
      <c r="J275" s="6"/>
    </row>
    <row r="276" spans="10:10" ht="15.75" customHeight="1" x14ac:dyDescent="0.2">
      <c r="J276" s="6"/>
    </row>
    <row r="277" spans="10:10" ht="15.75" customHeight="1" x14ac:dyDescent="0.2">
      <c r="J277" s="6"/>
    </row>
    <row r="278" spans="10:10" ht="15.75" customHeight="1" x14ac:dyDescent="0.2">
      <c r="J278" s="6"/>
    </row>
    <row r="279" spans="10:10" ht="15.75" customHeight="1" x14ac:dyDescent="0.2">
      <c r="J279" s="6"/>
    </row>
    <row r="280" spans="10:10" ht="15.75" customHeight="1" x14ac:dyDescent="0.2">
      <c r="J280" s="6"/>
    </row>
    <row r="281" spans="10:10" ht="15.75" customHeight="1" x14ac:dyDescent="0.2">
      <c r="J281" s="6"/>
    </row>
    <row r="282" spans="10:10" ht="15.75" customHeight="1" x14ac:dyDescent="0.2">
      <c r="J282" s="6"/>
    </row>
    <row r="283" spans="10:10" ht="15.75" customHeight="1" x14ac:dyDescent="0.2">
      <c r="J283" s="6"/>
    </row>
    <row r="284" spans="10:10" ht="15.75" customHeight="1" x14ac:dyDescent="0.2">
      <c r="J284" s="6"/>
    </row>
    <row r="285" spans="10:10" ht="15.75" customHeight="1" x14ac:dyDescent="0.2">
      <c r="J285" s="6"/>
    </row>
    <row r="286" spans="10:10" ht="15.75" customHeight="1" x14ac:dyDescent="0.2">
      <c r="J286" s="6"/>
    </row>
    <row r="287" spans="10:10" ht="15.75" customHeight="1" x14ac:dyDescent="0.2">
      <c r="J287" s="6"/>
    </row>
    <row r="288" spans="10:10" ht="15.75" customHeight="1" x14ac:dyDescent="0.2">
      <c r="J288" s="6"/>
    </row>
    <row r="289" spans="10:10" ht="15.75" customHeight="1" x14ac:dyDescent="0.2">
      <c r="J289" s="6"/>
    </row>
    <row r="290" spans="10:10" ht="15.75" customHeight="1" x14ac:dyDescent="0.2">
      <c r="J290" s="6"/>
    </row>
    <row r="291" spans="10:10" ht="15.75" customHeight="1" x14ac:dyDescent="0.2">
      <c r="J291" s="6"/>
    </row>
    <row r="292" spans="10:10" ht="15.75" customHeight="1" x14ac:dyDescent="0.2">
      <c r="J292" s="6"/>
    </row>
    <row r="293" spans="10:10" ht="15.75" customHeight="1" x14ac:dyDescent="0.2">
      <c r="J293" s="6"/>
    </row>
    <row r="294" spans="10:10" ht="15.75" customHeight="1" x14ac:dyDescent="0.2">
      <c r="J294" s="6"/>
    </row>
    <row r="295" spans="10:10" ht="15.75" customHeight="1" x14ac:dyDescent="0.2">
      <c r="J295" s="6"/>
    </row>
    <row r="296" spans="10:10" ht="15.75" customHeight="1" x14ac:dyDescent="0.2">
      <c r="J296" s="6"/>
    </row>
    <row r="297" spans="10:10" ht="15.75" customHeight="1" x14ac:dyDescent="0.2">
      <c r="J297" s="6"/>
    </row>
    <row r="298" spans="10:10" ht="15.75" customHeight="1" x14ac:dyDescent="0.2">
      <c r="J298" s="6"/>
    </row>
    <row r="299" spans="10:10" ht="15.75" customHeight="1" x14ac:dyDescent="0.2">
      <c r="J299" s="6"/>
    </row>
    <row r="300" spans="10:10" ht="15.75" customHeight="1" x14ac:dyDescent="0.2">
      <c r="J300" s="6"/>
    </row>
    <row r="301" spans="10:10" ht="15.75" customHeight="1" x14ac:dyDescent="0.2">
      <c r="J301" s="6"/>
    </row>
    <row r="302" spans="10:10" ht="15.75" customHeight="1" x14ac:dyDescent="0.2">
      <c r="J302" s="6"/>
    </row>
    <row r="303" spans="10:10" ht="15.75" customHeight="1" x14ac:dyDescent="0.2">
      <c r="J303" s="6"/>
    </row>
    <row r="304" spans="10:10" ht="15.75" customHeight="1" x14ac:dyDescent="0.2">
      <c r="J304" s="6"/>
    </row>
    <row r="305" spans="10:10" ht="15.75" customHeight="1" x14ac:dyDescent="0.2">
      <c r="J305" s="6"/>
    </row>
    <row r="306" spans="10:10" ht="15.75" customHeight="1" x14ac:dyDescent="0.2">
      <c r="J306" s="6"/>
    </row>
    <row r="307" spans="10:10" ht="15.75" customHeight="1" x14ac:dyDescent="0.2">
      <c r="J307" s="6"/>
    </row>
    <row r="308" spans="10:10" ht="15.75" customHeight="1" x14ac:dyDescent="0.2">
      <c r="J308" s="6"/>
    </row>
    <row r="309" spans="10:10" ht="15.75" customHeight="1" x14ac:dyDescent="0.2">
      <c r="J309" s="6"/>
    </row>
    <row r="310" spans="10:10" ht="15.75" customHeight="1" x14ac:dyDescent="0.2">
      <c r="J310" s="6"/>
    </row>
    <row r="311" spans="10:10" ht="15.75" customHeight="1" x14ac:dyDescent="0.2">
      <c r="J311" s="6"/>
    </row>
    <row r="312" spans="10:10" ht="15.75" customHeight="1" x14ac:dyDescent="0.2">
      <c r="J312" s="6"/>
    </row>
    <row r="313" spans="10:10" ht="15.75" customHeight="1" x14ac:dyDescent="0.2">
      <c r="J313" s="6"/>
    </row>
    <row r="314" spans="10:10" ht="15.75" customHeight="1" x14ac:dyDescent="0.2">
      <c r="J314" s="6"/>
    </row>
    <row r="315" spans="10:10" ht="15.75" customHeight="1" x14ac:dyDescent="0.2">
      <c r="J315" s="6"/>
    </row>
    <row r="316" spans="10:10" ht="15.75" customHeight="1" x14ac:dyDescent="0.2">
      <c r="J316" s="6"/>
    </row>
    <row r="317" spans="10:10" ht="15.75" customHeight="1" x14ac:dyDescent="0.2">
      <c r="J317" s="6"/>
    </row>
    <row r="318" spans="10:10" ht="15.75" customHeight="1" x14ac:dyDescent="0.2">
      <c r="J318" s="6"/>
    </row>
    <row r="319" spans="10:10" ht="15.75" customHeight="1" x14ac:dyDescent="0.2">
      <c r="J319" s="6"/>
    </row>
    <row r="320" spans="10:10" ht="15.75" customHeight="1" x14ac:dyDescent="0.2">
      <c r="J320" s="6"/>
    </row>
    <row r="321" spans="10:10" ht="15.75" customHeight="1" x14ac:dyDescent="0.2">
      <c r="J321" s="6"/>
    </row>
    <row r="322" spans="10:10" ht="15.75" customHeight="1" x14ac:dyDescent="0.2">
      <c r="J322" s="6"/>
    </row>
    <row r="323" spans="10:10" ht="15.75" customHeight="1" x14ac:dyDescent="0.2">
      <c r="J323" s="6"/>
    </row>
    <row r="324" spans="10:10" ht="15.75" customHeight="1" x14ac:dyDescent="0.2">
      <c r="J324" s="6"/>
    </row>
    <row r="325" spans="10:10" ht="15.75" customHeight="1" x14ac:dyDescent="0.2">
      <c r="J325" s="6"/>
    </row>
    <row r="326" spans="10:10" ht="15.75" customHeight="1" x14ac:dyDescent="0.2">
      <c r="J326" s="6"/>
    </row>
    <row r="327" spans="10:10" ht="15.75" customHeight="1" x14ac:dyDescent="0.2">
      <c r="J327" s="6"/>
    </row>
    <row r="328" spans="10:10" ht="15.75" customHeight="1" x14ac:dyDescent="0.2">
      <c r="J328" s="6"/>
    </row>
    <row r="329" spans="10:10" ht="15.75" customHeight="1" x14ac:dyDescent="0.2">
      <c r="J329" s="6"/>
    </row>
    <row r="330" spans="10:10" ht="15.75" customHeight="1" x14ac:dyDescent="0.2">
      <c r="J330" s="6"/>
    </row>
    <row r="331" spans="10:10" ht="15.75" customHeight="1" x14ac:dyDescent="0.2">
      <c r="J331" s="6"/>
    </row>
    <row r="332" spans="10:10" ht="15.75" customHeight="1" x14ac:dyDescent="0.2">
      <c r="J332" s="6"/>
    </row>
    <row r="333" spans="10:10" ht="15.75" customHeight="1" x14ac:dyDescent="0.2">
      <c r="J333" s="6"/>
    </row>
    <row r="334" spans="10:10" ht="15.75" customHeight="1" x14ac:dyDescent="0.2">
      <c r="J334" s="6"/>
    </row>
    <row r="335" spans="10:10" ht="15.75" customHeight="1" x14ac:dyDescent="0.2">
      <c r="J335" s="6"/>
    </row>
    <row r="336" spans="10:10" ht="15.75" customHeight="1" x14ac:dyDescent="0.2">
      <c r="J336" s="6"/>
    </row>
    <row r="337" spans="10:10" ht="15.75" customHeight="1" x14ac:dyDescent="0.2">
      <c r="J337" s="6"/>
    </row>
    <row r="338" spans="10:10" ht="15.75" customHeight="1" x14ac:dyDescent="0.2">
      <c r="J338" s="6"/>
    </row>
    <row r="339" spans="10:10" ht="15.75" customHeight="1" x14ac:dyDescent="0.2">
      <c r="J339" s="6"/>
    </row>
    <row r="340" spans="10:10" ht="15.75" customHeight="1" x14ac:dyDescent="0.2">
      <c r="J340" s="6"/>
    </row>
    <row r="341" spans="10:10" ht="15.75" customHeight="1" x14ac:dyDescent="0.2">
      <c r="J341" s="6"/>
    </row>
    <row r="342" spans="10:10" ht="15.75" customHeight="1" x14ac:dyDescent="0.2">
      <c r="J342" s="6"/>
    </row>
    <row r="343" spans="10:10" ht="15.75" customHeight="1" x14ac:dyDescent="0.2">
      <c r="J343" s="6"/>
    </row>
    <row r="344" spans="10:10" ht="15.75" customHeight="1" x14ac:dyDescent="0.2">
      <c r="J344" s="6"/>
    </row>
    <row r="345" spans="10:10" ht="15.75" customHeight="1" x14ac:dyDescent="0.2">
      <c r="J345" s="6"/>
    </row>
    <row r="346" spans="10:10" ht="15.75" customHeight="1" x14ac:dyDescent="0.2">
      <c r="J346" s="6"/>
    </row>
    <row r="347" spans="10:10" ht="15.75" customHeight="1" x14ac:dyDescent="0.2">
      <c r="J347" s="6"/>
    </row>
    <row r="348" spans="10:10" ht="15.75" customHeight="1" x14ac:dyDescent="0.2">
      <c r="J348" s="6"/>
    </row>
    <row r="349" spans="10:10" ht="15.75" customHeight="1" x14ac:dyDescent="0.2">
      <c r="J349" s="6"/>
    </row>
    <row r="350" spans="10:10" ht="15.75" customHeight="1" x14ac:dyDescent="0.2">
      <c r="J350" s="6"/>
    </row>
    <row r="351" spans="10:10" ht="15.75" customHeight="1" x14ac:dyDescent="0.2">
      <c r="J351" s="6"/>
    </row>
    <row r="352" spans="10:10" ht="15.75" customHeight="1" x14ac:dyDescent="0.2">
      <c r="J352" s="6"/>
    </row>
    <row r="353" spans="10:10" ht="15.75" customHeight="1" x14ac:dyDescent="0.2">
      <c r="J353" s="6"/>
    </row>
    <row r="354" spans="10:10" ht="15.75" customHeight="1" x14ac:dyDescent="0.2">
      <c r="J354" s="6"/>
    </row>
    <row r="355" spans="10:10" ht="15.75" customHeight="1" x14ac:dyDescent="0.2">
      <c r="J355" s="6"/>
    </row>
    <row r="356" spans="10:10" ht="15.75" customHeight="1" x14ac:dyDescent="0.2">
      <c r="J356" s="6"/>
    </row>
    <row r="357" spans="10:10" ht="15.75" customHeight="1" x14ac:dyDescent="0.2">
      <c r="J357" s="6"/>
    </row>
    <row r="358" spans="10:10" ht="15.75" customHeight="1" x14ac:dyDescent="0.2">
      <c r="J358" s="6"/>
    </row>
    <row r="359" spans="10:10" ht="15.75" customHeight="1" x14ac:dyDescent="0.2">
      <c r="J359" s="6"/>
    </row>
    <row r="360" spans="10:10" ht="15.75" customHeight="1" x14ac:dyDescent="0.2">
      <c r="J360" s="6"/>
    </row>
    <row r="361" spans="10:10" ht="15.75" customHeight="1" x14ac:dyDescent="0.2">
      <c r="J361" s="6"/>
    </row>
    <row r="362" spans="10:10" ht="15.75" customHeight="1" x14ac:dyDescent="0.2">
      <c r="J362" s="6"/>
    </row>
    <row r="363" spans="10:10" ht="15.75" customHeight="1" x14ac:dyDescent="0.2">
      <c r="J363" s="6"/>
    </row>
    <row r="364" spans="10:10" ht="15.75" customHeight="1" x14ac:dyDescent="0.2">
      <c r="J364" s="6"/>
    </row>
    <row r="365" spans="10:10" ht="15.75" customHeight="1" x14ac:dyDescent="0.2">
      <c r="J365" s="6"/>
    </row>
    <row r="366" spans="10:10" ht="15.75" customHeight="1" x14ac:dyDescent="0.2">
      <c r="J366" s="6"/>
    </row>
    <row r="367" spans="10:10" ht="15.75" customHeight="1" x14ac:dyDescent="0.2">
      <c r="J367" s="6"/>
    </row>
    <row r="368" spans="10:10" ht="15.75" customHeight="1" x14ac:dyDescent="0.2">
      <c r="J368" s="6"/>
    </row>
    <row r="369" spans="10:10" ht="15.75" customHeight="1" x14ac:dyDescent="0.2">
      <c r="J369" s="6"/>
    </row>
    <row r="370" spans="10:10" ht="15.75" customHeight="1" x14ac:dyDescent="0.2">
      <c r="J370" s="6"/>
    </row>
    <row r="371" spans="10:10" ht="15.75" customHeight="1" x14ac:dyDescent="0.2">
      <c r="J371" s="6"/>
    </row>
    <row r="372" spans="10:10" ht="15.75" customHeight="1" x14ac:dyDescent="0.2">
      <c r="J372" s="6"/>
    </row>
    <row r="373" spans="10:10" ht="15.75" customHeight="1" x14ac:dyDescent="0.2">
      <c r="J373" s="6"/>
    </row>
    <row r="374" spans="10:10" ht="15.75" customHeight="1" x14ac:dyDescent="0.2">
      <c r="J374" s="6"/>
    </row>
    <row r="375" spans="10:10" ht="15.75" customHeight="1" x14ac:dyDescent="0.2">
      <c r="J375" s="6"/>
    </row>
    <row r="376" spans="10:10" ht="15.75" customHeight="1" x14ac:dyDescent="0.2">
      <c r="J376" s="6"/>
    </row>
    <row r="377" spans="10:10" ht="15.75" customHeight="1" x14ac:dyDescent="0.2">
      <c r="J377" s="6"/>
    </row>
    <row r="378" spans="10:10" ht="15.75" customHeight="1" x14ac:dyDescent="0.2">
      <c r="J378" s="6"/>
    </row>
    <row r="379" spans="10:10" ht="15.75" customHeight="1" x14ac:dyDescent="0.2">
      <c r="J379" s="6"/>
    </row>
    <row r="380" spans="10:10" ht="15.75" customHeight="1" x14ac:dyDescent="0.2">
      <c r="J380" s="6"/>
    </row>
    <row r="381" spans="10:10" ht="15.75" customHeight="1" x14ac:dyDescent="0.2">
      <c r="J381" s="6"/>
    </row>
    <row r="382" spans="10:10" ht="15.75" customHeight="1" x14ac:dyDescent="0.2">
      <c r="J382" s="6"/>
    </row>
    <row r="383" spans="10:10" ht="15.75" customHeight="1" x14ac:dyDescent="0.2">
      <c r="J383" s="6"/>
    </row>
    <row r="384" spans="10:10" ht="15.75" customHeight="1" x14ac:dyDescent="0.2">
      <c r="J384" s="6"/>
    </row>
    <row r="385" spans="10:10" ht="15.75" customHeight="1" x14ac:dyDescent="0.2">
      <c r="J385" s="6"/>
    </row>
    <row r="386" spans="10:10" ht="15.75" customHeight="1" x14ac:dyDescent="0.2">
      <c r="J386" s="6"/>
    </row>
    <row r="387" spans="10:10" ht="15.75" customHeight="1" x14ac:dyDescent="0.2">
      <c r="J387" s="6"/>
    </row>
    <row r="388" spans="10:10" ht="15.75" customHeight="1" x14ac:dyDescent="0.2">
      <c r="J388" s="6"/>
    </row>
    <row r="389" spans="10:10" ht="15.75" customHeight="1" x14ac:dyDescent="0.2">
      <c r="J389" s="6"/>
    </row>
    <row r="390" spans="10:10" ht="15.75" customHeight="1" x14ac:dyDescent="0.2">
      <c r="J390" s="6"/>
    </row>
    <row r="391" spans="10:10" ht="15.75" customHeight="1" x14ac:dyDescent="0.2">
      <c r="J391" s="6"/>
    </row>
    <row r="392" spans="10:10" ht="15.75" customHeight="1" x14ac:dyDescent="0.2">
      <c r="J392" s="6"/>
    </row>
    <row r="393" spans="10:10" ht="15.75" customHeight="1" x14ac:dyDescent="0.2">
      <c r="J393" s="6"/>
    </row>
    <row r="394" spans="10:10" ht="15.75" customHeight="1" x14ac:dyDescent="0.2">
      <c r="J394" s="6"/>
    </row>
    <row r="395" spans="10:10" ht="15.75" customHeight="1" x14ac:dyDescent="0.2">
      <c r="J395" s="6"/>
    </row>
    <row r="396" spans="10:10" ht="15.75" customHeight="1" x14ac:dyDescent="0.2">
      <c r="J396" s="6"/>
    </row>
    <row r="397" spans="10:10" ht="15.75" customHeight="1" x14ac:dyDescent="0.2">
      <c r="J397" s="6"/>
    </row>
    <row r="398" spans="10:10" ht="15.75" customHeight="1" x14ac:dyDescent="0.2">
      <c r="J398" s="6"/>
    </row>
    <row r="399" spans="10:10" ht="15.75" customHeight="1" x14ac:dyDescent="0.2">
      <c r="J399" s="6"/>
    </row>
    <row r="400" spans="10:10" ht="15.75" customHeight="1" x14ac:dyDescent="0.2">
      <c r="J400" s="6"/>
    </row>
    <row r="401" spans="10:10" ht="15.75" customHeight="1" x14ac:dyDescent="0.2">
      <c r="J401" s="6"/>
    </row>
    <row r="402" spans="10:10" ht="15.75" customHeight="1" x14ac:dyDescent="0.2">
      <c r="J402" s="6"/>
    </row>
    <row r="403" spans="10:10" ht="15.75" customHeight="1" x14ac:dyDescent="0.2">
      <c r="J403" s="6"/>
    </row>
    <row r="404" spans="10:10" ht="15.75" customHeight="1" x14ac:dyDescent="0.2">
      <c r="J404" s="6"/>
    </row>
    <row r="405" spans="10:10" ht="15.75" customHeight="1" x14ac:dyDescent="0.2">
      <c r="J405" s="6"/>
    </row>
    <row r="406" spans="10:10" ht="15.75" customHeight="1" x14ac:dyDescent="0.2">
      <c r="J406" s="6"/>
    </row>
    <row r="407" spans="10:10" ht="15.75" customHeight="1" x14ac:dyDescent="0.2">
      <c r="J407" s="6"/>
    </row>
    <row r="408" spans="10:10" ht="15.75" customHeight="1" x14ac:dyDescent="0.2">
      <c r="J408" s="6"/>
    </row>
    <row r="409" spans="10:10" ht="15.75" customHeight="1" x14ac:dyDescent="0.2">
      <c r="J409" s="6"/>
    </row>
    <row r="410" spans="10:10" ht="15.75" customHeight="1" x14ac:dyDescent="0.2">
      <c r="J410" s="6"/>
    </row>
    <row r="411" spans="10:10" ht="15.75" customHeight="1" x14ac:dyDescent="0.2">
      <c r="J411" s="6"/>
    </row>
    <row r="412" spans="10:10" ht="15.75" customHeight="1" x14ac:dyDescent="0.2">
      <c r="J412" s="6"/>
    </row>
    <row r="413" spans="10:10" ht="15.75" customHeight="1" x14ac:dyDescent="0.2">
      <c r="J413" s="6"/>
    </row>
    <row r="414" spans="10:10" ht="15.75" customHeight="1" x14ac:dyDescent="0.2">
      <c r="J414" s="6"/>
    </row>
    <row r="415" spans="10:10" ht="15.75" customHeight="1" x14ac:dyDescent="0.2">
      <c r="J415" s="6"/>
    </row>
    <row r="416" spans="10:10" ht="15.75" customHeight="1" x14ac:dyDescent="0.2">
      <c r="J416" s="6"/>
    </row>
    <row r="417" spans="10:10" ht="15.75" customHeight="1" x14ac:dyDescent="0.2">
      <c r="J417" s="6"/>
    </row>
    <row r="418" spans="10:10" ht="15.75" customHeight="1" x14ac:dyDescent="0.2">
      <c r="J418" s="6"/>
    </row>
    <row r="419" spans="10:10" ht="15.75" customHeight="1" x14ac:dyDescent="0.2">
      <c r="J419" s="6"/>
    </row>
    <row r="420" spans="10:10" ht="15.75" customHeight="1" x14ac:dyDescent="0.2">
      <c r="J420" s="6"/>
    </row>
    <row r="421" spans="10:10" ht="15.75" customHeight="1" x14ac:dyDescent="0.2">
      <c r="J421" s="6"/>
    </row>
    <row r="422" spans="10:10" ht="15.75" customHeight="1" x14ac:dyDescent="0.2">
      <c r="J422" s="6"/>
    </row>
    <row r="423" spans="10:10" ht="15.75" customHeight="1" x14ac:dyDescent="0.2">
      <c r="J423" s="6"/>
    </row>
    <row r="424" spans="10:10" ht="15.75" customHeight="1" x14ac:dyDescent="0.2">
      <c r="J424" s="6"/>
    </row>
    <row r="425" spans="10:10" ht="15.75" customHeight="1" x14ac:dyDescent="0.2">
      <c r="J425" s="6"/>
    </row>
    <row r="426" spans="10:10" ht="15.75" customHeight="1" x14ac:dyDescent="0.2">
      <c r="J426" s="6"/>
    </row>
    <row r="427" spans="10:10" ht="15.75" customHeight="1" x14ac:dyDescent="0.2">
      <c r="J427" s="6"/>
    </row>
    <row r="428" spans="10:10" ht="15.75" customHeight="1" x14ac:dyDescent="0.2">
      <c r="J428" s="6"/>
    </row>
    <row r="429" spans="10:10" ht="15.75" customHeight="1" x14ac:dyDescent="0.2">
      <c r="J429" s="6"/>
    </row>
    <row r="430" spans="10:10" ht="15.75" customHeight="1" x14ac:dyDescent="0.2">
      <c r="J430" s="6"/>
    </row>
    <row r="431" spans="10:10" ht="15.75" customHeight="1" x14ac:dyDescent="0.2">
      <c r="J431" s="6"/>
    </row>
    <row r="432" spans="10:10" ht="15.75" customHeight="1" x14ac:dyDescent="0.2">
      <c r="J432" s="6"/>
    </row>
    <row r="433" spans="10:10" ht="15.75" customHeight="1" x14ac:dyDescent="0.2">
      <c r="J433" s="6"/>
    </row>
    <row r="434" spans="10:10" ht="15.75" customHeight="1" x14ac:dyDescent="0.2">
      <c r="J434" s="6"/>
    </row>
    <row r="435" spans="10:10" ht="15.75" customHeight="1" x14ac:dyDescent="0.2">
      <c r="J435" s="6"/>
    </row>
    <row r="436" spans="10:10" ht="15.75" customHeight="1" x14ac:dyDescent="0.2">
      <c r="J436" s="6"/>
    </row>
    <row r="437" spans="10:10" ht="15.75" customHeight="1" x14ac:dyDescent="0.2">
      <c r="J437" s="6"/>
    </row>
    <row r="438" spans="10:10" ht="15.75" customHeight="1" x14ac:dyDescent="0.2">
      <c r="J438" s="6"/>
    </row>
    <row r="439" spans="10:10" ht="15.75" customHeight="1" x14ac:dyDescent="0.2">
      <c r="J439" s="6"/>
    </row>
    <row r="440" spans="10:10" ht="15.75" customHeight="1" x14ac:dyDescent="0.2">
      <c r="J440" s="6"/>
    </row>
    <row r="441" spans="10:10" ht="15.75" customHeight="1" x14ac:dyDescent="0.2">
      <c r="J441" s="6"/>
    </row>
    <row r="442" spans="10:10" ht="15.75" customHeight="1" x14ac:dyDescent="0.2">
      <c r="J442" s="6"/>
    </row>
    <row r="443" spans="10:10" ht="15.75" customHeight="1" x14ac:dyDescent="0.2">
      <c r="J443" s="6"/>
    </row>
    <row r="444" spans="10:10" ht="15.75" customHeight="1" x14ac:dyDescent="0.2">
      <c r="J444" s="6"/>
    </row>
    <row r="445" spans="10:10" ht="15.75" customHeight="1" x14ac:dyDescent="0.2">
      <c r="J445" s="6"/>
    </row>
    <row r="446" spans="10:10" ht="15.75" customHeight="1" x14ac:dyDescent="0.2">
      <c r="J446" s="6"/>
    </row>
    <row r="447" spans="10:10" ht="15.75" customHeight="1" x14ac:dyDescent="0.2">
      <c r="J447" s="6"/>
    </row>
    <row r="448" spans="10:10" ht="15.75" customHeight="1" x14ac:dyDescent="0.2">
      <c r="J448" s="6"/>
    </row>
    <row r="449" spans="10:10" ht="15.75" customHeight="1" x14ac:dyDescent="0.2">
      <c r="J449" s="6"/>
    </row>
    <row r="450" spans="10:10" ht="15.75" customHeight="1" x14ac:dyDescent="0.2">
      <c r="J450" s="6"/>
    </row>
    <row r="451" spans="10:10" ht="15.75" customHeight="1" x14ac:dyDescent="0.2">
      <c r="J451" s="6"/>
    </row>
    <row r="452" spans="10:10" ht="15.75" customHeight="1" x14ac:dyDescent="0.2">
      <c r="J452" s="6"/>
    </row>
    <row r="453" spans="10:10" ht="15.75" customHeight="1" x14ac:dyDescent="0.2">
      <c r="J453" s="6"/>
    </row>
    <row r="454" spans="10:10" ht="15.75" customHeight="1" x14ac:dyDescent="0.2">
      <c r="J454" s="6"/>
    </row>
    <row r="455" spans="10:10" ht="15.75" customHeight="1" x14ac:dyDescent="0.2">
      <c r="J455" s="6"/>
    </row>
    <row r="456" spans="10:10" ht="15.75" customHeight="1" x14ac:dyDescent="0.2">
      <c r="J456" s="6"/>
    </row>
    <row r="457" spans="10:10" ht="15.75" customHeight="1" x14ac:dyDescent="0.2">
      <c r="J457" s="6"/>
    </row>
    <row r="458" spans="10:10" ht="15.75" customHeight="1" x14ac:dyDescent="0.2">
      <c r="J458" s="6"/>
    </row>
    <row r="459" spans="10:10" ht="15.75" customHeight="1" x14ac:dyDescent="0.2">
      <c r="J459" s="6"/>
    </row>
    <row r="460" spans="10:10" ht="15.75" customHeight="1" x14ac:dyDescent="0.2">
      <c r="J460" s="6"/>
    </row>
    <row r="461" spans="10:10" ht="15.75" customHeight="1" x14ac:dyDescent="0.2">
      <c r="J461" s="6"/>
    </row>
    <row r="462" spans="10:10" ht="15.75" customHeight="1" x14ac:dyDescent="0.2">
      <c r="J462" s="6"/>
    </row>
    <row r="463" spans="10:10" ht="15.75" customHeight="1" x14ac:dyDescent="0.2">
      <c r="J463" s="6"/>
    </row>
    <row r="464" spans="10:10" ht="15.75" customHeight="1" x14ac:dyDescent="0.2">
      <c r="J464" s="6"/>
    </row>
    <row r="465" spans="10:10" ht="15.75" customHeight="1" x14ac:dyDescent="0.2">
      <c r="J465" s="6"/>
    </row>
    <row r="466" spans="10:10" ht="15.75" customHeight="1" x14ac:dyDescent="0.2">
      <c r="J466" s="6"/>
    </row>
    <row r="467" spans="10:10" ht="15.75" customHeight="1" x14ac:dyDescent="0.2">
      <c r="J467" s="6"/>
    </row>
    <row r="468" spans="10:10" ht="15.75" customHeight="1" x14ac:dyDescent="0.2">
      <c r="J468" s="6"/>
    </row>
    <row r="469" spans="10:10" ht="15.75" customHeight="1" x14ac:dyDescent="0.2">
      <c r="J469" s="6"/>
    </row>
    <row r="470" spans="10:10" ht="15.75" customHeight="1" x14ac:dyDescent="0.2">
      <c r="J470" s="6"/>
    </row>
    <row r="471" spans="10:10" ht="15.75" customHeight="1" x14ac:dyDescent="0.2">
      <c r="J471" s="6"/>
    </row>
    <row r="472" spans="10:10" ht="15.75" customHeight="1" x14ac:dyDescent="0.2">
      <c r="J472" s="6"/>
    </row>
    <row r="473" spans="10:10" ht="15.75" customHeight="1" x14ac:dyDescent="0.2">
      <c r="J473" s="6"/>
    </row>
    <row r="474" spans="10:10" ht="15.75" customHeight="1" x14ac:dyDescent="0.2">
      <c r="J474" s="6"/>
    </row>
    <row r="475" spans="10:10" ht="15.75" customHeight="1" x14ac:dyDescent="0.2">
      <c r="J475" s="6"/>
    </row>
    <row r="476" spans="10:10" ht="15.75" customHeight="1" x14ac:dyDescent="0.2">
      <c r="J476" s="6"/>
    </row>
    <row r="477" spans="10:10" ht="15.75" customHeight="1" x14ac:dyDescent="0.2">
      <c r="J477" s="6"/>
    </row>
    <row r="478" spans="10:10" ht="15.75" customHeight="1" x14ac:dyDescent="0.2">
      <c r="J478" s="6"/>
    </row>
    <row r="479" spans="10:10" ht="15.75" customHeight="1" x14ac:dyDescent="0.2">
      <c r="J479" s="6"/>
    </row>
    <row r="480" spans="10:10" ht="15.75" customHeight="1" x14ac:dyDescent="0.2">
      <c r="J480" s="6"/>
    </row>
    <row r="481" spans="10:10" ht="15.75" customHeight="1" x14ac:dyDescent="0.2">
      <c r="J481" s="6"/>
    </row>
    <row r="482" spans="10:10" ht="15.75" customHeight="1" x14ac:dyDescent="0.2">
      <c r="J482" s="6"/>
    </row>
    <row r="483" spans="10:10" ht="15.75" customHeight="1" x14ac:dyDescent="0.2">
      <c r="J483" s="6"/>
    </row>
    <row r="484" spans="10:10" ht="15.75" customHeight="1" x14ac:dyDescent="0.2">
      <c r="J484" s="6"/>
    </row>
    <row r="485" spans="10:10" ht="15.75" customHeight="1" x14ac:dyDescent="0.2">
      <c r="J485" s="6"/>
    </row>
    <row r="486" spans="10:10" ht="15.75" customHeight="1" x14ac:dyDescent="0.2">
      <c r="J486" s="6"/>
    </row>
    <row r="487" spans="10:10" ht="15.75" customHeight="1" x14ac:dyDescent="0.2">
      <c r="J487" s="6"/>
    </row>
    <row r="488" spans="10:10" ht="15.75" customHeight="1" x14ac:dyDescent="0.2">
      <c r="J488" s="6"/>
    </row>
    <row r="489" spans="10:10" ht="15.75" customHeight="1" x14ac:dyDescent="0.2">
      <c r="J489" s="6"/>
    </row>
    <row r="490" spans="10:10" ht="15.75" customHeight="1" x14ac:dyDescent="0.2">
      <c r="J490" s="6"/>
    </row>
    <row r="491" spans="10:10" ht="15.75" customHeight="1" x14ac:dyDescent="0.2">
      <c r="J491" s="6"/>
    </row>
    <row r="492" spans="10:10" ht="15.75" customHeight="1" x14ac:dyDescent="0.2">
      <c r="J492" s="6"/>
    </row>
    <row r="493" spans="10:10" ht="15.75" customHeight="1" x14ac:dyDescent="0.2">
      <c r="J493" s="6"/>
    </row>
    <row r="494" spans="10:10" ht="15.75" customHeight="1" x14ac:dyDescent="0.2">
      <c r="J494" s="6"/>
    </row>
    <row r="495" spans="10:10" ht="15.75" customHeight="1" x14ac:dyDescent="0.2">
      <c r="J495" s="6"/>
    </row>
    <row r="496" spans="10:10" ht="15.75" customHeight="1" x14ac:dyDescent="0.2">
      <c r="J496" s="6"/>
    </row>
    <row r="497" spans="10:10" ht="15.75" customHeight="1" x14ac:dyDescent="0.2">
      <c r="J497" s="6"/>
    </row>
    <row r="498" spans="10:10" ht="15.75" customHeight="1" x14ac:dyDescent="0.2">
      <c r="J498" s="6"/>
    </row>
    <row r="499" spans="10:10" ht="15.75" customHeight="1" x14ac:dyDescent="0.2">
      <c r="J499" s="6"/>
    </row>
    <row r="500" spans="10:10" ht="15.75" customHeight="1" x14ac:dyDescent="0.2">
      <c r="J500" s="6"/>
    </row>
    <row r="501" spans="10:10" ht="15.75" customHeight="1" x14ac:dyDescent="0.2">
      <c r="J501" s="6"/>
    </row>
    <row r="502" spans="10:10" ht="15.75" customHeight="1" x14ac:dyDescent="0.2">
      <c r="J502" s="6"/>
    </row>
    <row r="503" spans="10:10" ht="15.75" customHeight="1" x14ac:dyDescent="0.2">
      <c r="J503" s="6"/>
    </row>
    <row r="504" spans="10:10" ht="15.75" customHeight="1" x14ac:dyDescent="0.2">
      <c r="J504" s="6"/>
    </row>
    <row r="505" spans="10:10" ht="15.75" customHeight="1" x14ac:dyDescent="0.2">
      <c r="J505" s="6"/>
    </row>
    <row r="506" spans="10:10" ht="15.75" customHeight="1" x14ac:dyDescent="0.2">
      <c r="J506" s="6"/>
    </row>
    <row r="507" spans="10:10" ht="15.75" customHeight="1" x14ac:dyDescent="0.2">
      <c r="J507" s="6"/>
    </row>
    <row r="508" spans="10:10" ht="15.75" customHeight="1" x14ac:dyDescent="0.2">
      <c r="J508" s="6"/>
    </row>
    <row r="509" spans="10:10" ht="15.75" customHeight="1" x14ac:dyDescent="0.2">
      <c r="J509" s="6"/>
    </row>
    <row r="510" spans="10:10" ht="15.75" customHeight="1" x14ac:dyDescent="0.2">
      <c r="J510" s="6"/>
    </row>
    <row r="511" spans="10:10" ht="15.75" customHeight="1" x14ac:dyDescent="0.2">
      <c r="J511" s="6"/>
    </row>
    <row r="512" spans="10:10" ht="15.75" customHeight="1" x14ac:dyDescent="0.2">
      <c r="J512" s="6"/>
    </row>
    <row r="513" spans="10:10" ht="15.75" customHeight="1" x14ac:dyDescent="0.2">
      <c r="J513" s="6"/>
    </row>
    <row r="514" spans="10:10" ht="15.75" customHeight="1" x14ac:dyDescent="0.2">
      <c r="J514" s="6"/>
    </row>
    <row r="515" spans="10:10" ht="15.75" customHeight="1" x14ac:dyDescent="0.2">
      <c r="J515" s="6"/>
    </row>
    <row r="516" spans="10:10" ht="15.75" customHeight="1" x14ac:dyDescent="0.2">
      <c r="J516" s="6"/>
    </row>
    <row r="517" spans="10:10" ht="15.75" customHeight="1" x14ac:dyDescent="0.2">
      <c r="J517" s="6"/>
    </row>
    <row r="518" spans="10:10" ht="15.75" customHeight="1" x14ac:dyDescent="0.2">
      <c r="J518" s="6"/>
    </row>
    <row r="519" spans="10:10" ht="15.75" customHeight="1" x14ac:dyDescent="0.2">
      <c r="J519" s="6"/>
    </row>
    <row r="520" spans="10:10" ht="15.75" customHeight="1" x14ac:dyDescent="0.2">
      <c r="J520" s="6"/>
    </row>
    <row r="521" spans="10:10" ht="15.75" customHeight="1" x14ac:dyDescent="0.2">
      <c r="J521" s="6"/>
    </row>
    <row r="522" spans="10:10" ht="15.75" customHeight="1" x14ac:dyDescent="0.2">
      <c r="J522" s="6"/>
    </row>
    <row r="523" spans="10:10" ht="15.75" customHeight="1" x14ac:dyDescent="0.2">
      <c r="J523" s="6"/>
    </row>
    <row r="524" spans="10:10" ht="15.75" customHeight="1" x14ac:dyDescent="0.2">
      <c r="J524" s="6"/>
    </row>
    <row r="525" spans="10:10" ht="15.75" customHeight="1" x14ac:dyDescent="0.2">
      <c r="J525" s="6"/>
    </row>
    <row r="526" spans="10:10" ht="15.75" customHeight="1" x14ac:dyDescent="0.2">
      <c r="J526" s="6"/>
    </row>
    <row r="527" spans="10:10" ht="15.75" customHeight="1" x14ac:dyDescent="0.2">
      <c r="J527" s="6"/>
    </row>
    <row r="528" spans="10:10" ht="15.75" customHeight="1" x14ac:dyDescent="0.2">
      <c r="J528" s="6"/>
    </row>
    <row r="529" spans="10:10" ht="15.75" customHeight="1" x14ac:dyDescent="0.2">
      <c r="J529" s="6"/>
    </row>
    <row r="530" spans="10:10" ht="15.75" customHeight="1" x14ac:dyDescent="0.2">
      <c r="J530" s="6"/>
    </row>
    <row r="531" spans="10:10" ht="15.75" customHeight="1" x14ac:dyDescent="0.2">
      <c r="J531" s="6"/>
    </row>
    <row r="532" spans="10:10" ht="15.75" customHeight="1" x14ac:dyDescent="0.2">
      <c r="J532" s="6"/>
    </row>
    <row r="533" spans="10:10" ht="15.75" customHeight="1" x14ac:dyDescent="0.2">
      <c r="J533" s="6"/>
    </row>
    <row r="534" spans="10:10" ht="15.75" customHeight="1" x14ac:dyDescent="0.2">
      <c r="J534" s="6"/>
    </row>
    <row r="535" spans="10:10" ht="15.75" customHeight="1" x14ac:dyDescent="0.2">
      <c r="J535" s="6"/>
    </row>
    <row r="536" spans="10:10" ht="15.75" customHeight="1" x14ac:dyDescent="0.2">
      <c r="J536" s="6"/>
    </row>
    <row r="537" spans="10:10" ht="15.75" customHeight="1" x14ac:dyDescent="0.2">
      <c r="J537" s="6"/>
    </row>
    <row r="538" spans="10:10" ht="15.75" customHeight="1" x14ac:dyDescent="0.2">
      <c r="J538" s="6"/>
    </row>
    <row r="539" spans="10:10" ht="15.75" customHeight="1" x14ac:dyDescent="0.2">
      <c r="J539" s="6"/>
    </row>
    <row r="540" spans="10:10" ht="15.75" customHeight="1" x14ac:dyDescent="0.2">
      <c r="J540" s="6"/>
    </row>
    <row r="541" spans="10:10" ht="15.75" customHeight="1" x14ac:dyDescent="0.2">
      <c r="J541" s="6"/>
    </row>
    <row r="542" spans="10:10" ht="15.75" customHeight="1" x14ac:dyDescent="0.2">
      <c r="J542" s="6"/>
    </row>
    <row r="543" spans="10:10" ht="15.75" customHeight="1" x14ac:dyDescent="0.2">
      <c r="J543" s="6"/>
    </row>
    <row r="544" spans="10:10" ht="15.75" customHeight="1" x14ac:dyDescent="0.2">
      <c r="J544" s="6"/>
    </row>
    <row r="545" spans="10:10" ht="15.75" customHeight="1" x14ac:dyDescent="0.2">
      <c r="J545" s="6"/>
    </row>
    <row r="546" spans="10:10" ht="15.75" customHeight="1" x14ac:dyDescent="0.2">
      <c r="J546" s="6"/>
    </row>
    <row r="547" spans="10:10" ht="15.75" customHeight="1" x14ac:dyDescent="0.2">
      <c r="J547" s="6"/>
    </row>
    <row r="548" spans="10:10" ht="15.75" customHeight="1" x14ac:dyDescent="0.2">
      <c r="J548" s="6"/>
    </row>
    <row r="549" spans="10:10" ht="15.75" customHeight="1" x14ac:dyDescent="0.2">
      <c r="J549" s="6"/>
    </row>
    <row r="550" spans="10:10" ht="15.75" customHeight="1" x14ac:dyDescent="0.2">
      <c r="J550" s="6"/>
    </row>
    <row r="551" spans="10:10" ht="15.75" customHeight="1" x14ac:dyDescent="0.2">
      <c r="J551" s="6"/>
    </row>
    <row r="552" spans="10:10" ht="15.75" customHeight="1" x14ac:dyDescent="0.2">
      <c r="J552" s="6"/>
    </row>
    <row r="553" spans="10:10" ht="15.75" customHeight="1" x14ac:dyDescent="0.2">
      <c r="J553" s="6"/>
    </row>
    <row r="554" spans="10:10" ht="15.75" customHeight="1" x14ac:dyDescent="0.2">
      <c r="J554" s="6"/>
    </row>
    <row r="555" spans="10:10" ht="15.75" customHeight="1" x14ac:dyDescent="0.2">
      <c r="J555" s="6"/>
    </row>
    <row r="556" spans="10:10" ht="15.75" customHeight="1" x14ac:dyDescent="0.2">
      <c r="J556" s="6"/>
    </row>
    <row r="557" spans="10:10" ht="15.75" customHeight="1" x14ac:dyDescent="0.2">
      <c r="J557" s="6"/>
    </row>
    <row r="558" spans="10:10" ht="15.75" customHeight="1" x14ac:dyDescent="0.2">
      <c r="J558" s="6"/>
    </row>
    <row r="559" spans="10:10" ht="15.75" customHeight="1" x14ac:dyDescent="0.2">
      <c r="J559" s="6"/>
    </row>
    <row r="560" spans="10:10" ht="15.75" customHeight="1" x14ac:dyDescent="0.2">
      <c r="J560" s="6"/>
    </row>
    <row r="561" spans="10:10" ht="15.75" customHeight="1" x14ac:dyDescent="0.2">
      <c r="J561" s="6"/>
    </row>
    <row r="562" spans="10:10" ht="15.75" customHeight="1" x14ac:dyDescent="0.2">
      <c r="J562" s="6"/>
    </row>
    <row r="563" spans="10:10" ht="15.75" customHeight="1" x14ac:dyDescent="0.2">
      <c r="J563" s="6"/>
    </row>
    <row r="564" spans="10:10" ht="15.75" customHeight="1" x14ac:dyDescent="0.2">
      <c r="J564" s="6"/>
    </row>
    <row r="565" spans="10:10" ht="15.75" customHeight="1" x14ac:dyDescent="0.2">
      <c r="J565" s="6"/>
    </row>
    <row r="566" spans="10:10" ht="15.75" customHeight="1" x14ac:dyDescent="0.2">
      <c r="J566" s="6"/>
    </row>
    <row r="567" spans="10:10" ht="15.75" customHeight="1" x14ac:dyDescent="0.2">
      <c r="J567" s="6"/>
    </row>
    <row r="568" spans="10:10" ht="15.75" customHeight="1" x14ac:dyDescent="0.2">
      <c r="J568" s="6"/>
    </row>
    <row r="569" spans="10:10" ht="15.75" customHeight="1" x14ac:dyDescent="0.2">
      <c r="J569" s="6"/>
    </row>
    <row r="570" spans="10:10" ht="15.75" customHeight="1" x14ac:dyDescent="0.2">
      <c r="J570" s="6"/>
    </row>
    <row r="571" spans="10:10" ht="15.75" customHeight="1" x14ac:dyDescent="0.2">
      <c r="J571" s="6"/>
    </row>
    <row r="572" spans="10:10" ht="15.75" customHeight="1" x14ac:dyDescent="0.2">
      <c r="J572" s="6"/>
    </row>
    <row r="573" spans="10:10" ht="15.75" customHeight="1" x14ac:dyDescent="0.2">
      <c r="J573" s="6"/>
    </row>
    <row r="574" spans="10:10" ht="15.75" customHeight="1" x14ac:dyDescent="0.2">
      <c r="J574" s="6"/>
    </row>
    <row r="575" spans="10:10" ht="15.75" customHeight="1" x14ac:dyDescent="0.2">
      <c r="J575" s="6"/>
    </row>
    <row r="576" spans="10:10" ht="15.75" customHeight="1" x14ac:dyDescent="0.2">
      <c r="J576" s="6"/>
    </row>
    <row r="577" spans="10:10" ht="15.75" customHeight="1" x14ac:dyDescent="0.2">
      <c r="J577" s="6"/>
    </row>
    <row r="578" spans="10:10" ht="15.75" customHeight="1" x14ac:dyDescent="0.2">
      <c r="J578" s="6"/>
    </row>
    <row r="579" spans="10:10" ht="15.75" customHeight="1" x14ac:dyDescent="0.2">
      <c r="J579" s="6"/>
    </row>
    <row r="580" spans="10:10" ht="15.75" customHeight="1" x14ac:dyDescent="0.2">
      <c r="J580" s="6"/>
    </row>
    <row r="581" spans="10:10" ht="15.75" customHeight="1" x14ac:dyDescent="0.2">
      <c r="J581" s="6"/>
    </row>
    <row r="582" spans="10:10" ht="15.75" customHeight="1" x14ac:dyDescent="0.2">
      <c r="J582" s="6"/>
    </row>
    <row r="583" spans="10:10" ht="15.75" customHeight="1" x14ac:dyDescent="0.2">
      <c r="J583" s="6"/>
    </row>
    <row r="584" spans="10:10" ht="15.75" customHeight="1" x14ac:dyDescent="0.2">
      <c r="J584" s="6"/>
    </row>
    <row r="585" spans="10:10" ht="15.75" customHeight="1" x14ac:dyDescent="0.2">
      <c r="J585" s="6"/>
    </row>
    <row r="586" spans="10:10" ht="15.75" customHeight="1" x14ac:dyDescent="0.2">
      <c r="J586" s="6"/>
    </row>
    <row r="587" spans="10:10" ht="15.75" customHeight="1" x14ac:dyDescent="0.2">
      <c r="J587" s="6"/>
    </row>
    <row r="588" spans="10:10" ht="15.75" customHeight="1" x14ac:dyDescent="0.2">
      <c r="J588" s="6"/>
    </row>
    <row r="589" spans="10:10" ht="15.75" customHeight="1" x14ac:dyDescent="0.2">
      <c r="J589" s="6"/>
    </row>
    <row r="590" spans="10:10" ht="15.75" customHeight="1" x14ac:dyDescent="0.2">
      <c r="J590" s="6"/>
    </row>
    <row r="591" spans="10:10" ht="15.75" customHeight="1" x14ac:dyDescent="0.2">
      <c r="J591" s="6"/>
    </row>
    <row r="592" spans="10:10" ht="15.75" customHeight="1" x14ac:dyDescent="0.2">
      <c r="J592" s="6"/>
    </row>
    <row r="593" spans="10:10" ht="15.75" customHeight="1" x14ac:dyDescent="0.2">
      <c r="J593" s="6"/>
    </row>
    <row r="594" spans="10:10" ht="15.75" customHeight="1" x14ac:dyDescent="0.2">
      <c r="J594" s="6"/>
    </row>
    <row r="595" spans="10:10" ht="15.75" customHeight="1" x14ac:dyDescent="0.2">
      <c r="J595" s="6"/>
    </row>
    <row r="596" spans="10:10" ht="15.75" customHeight="1" x14ac:dyDescent="0.2">
      <c r="J596" s="6"/>
    </row>
    <row r="597" spans="10:10" ht="15.75" customHeight="1" x14ac:dyDescent="0.2">
      <c r="J597" s="6"/>
    </row>
    <row r="598" spans="10:10" ht="15.75" customHeight="1" x14ac:dyDescent="0.2">
      <c r="J598" s="6"/>
    </row>
    <row r="599" spans="10:10" ht="15.75" customHeight="1" x14ac:dyDescent="0.2">
      <c r="J599" s="6"/>
    </row>
    <row r="600" spans="10:10" ht="15.75" customHeight="1" x14ac:dyDescent="0.2">
      <c r="J600" s="6"/>
    </row>
    <row r="601" spans="10:10" ht="15.75" customHeight="1" x14ac:dyDescent="0.2">
      <c r="J601" s="6"/>
    </row>
    <row r="602" spans="10:10" ht="15.75" customHeight="1" x14ac:dyDescent="0.2">
      <c r="J602" s="6"/>
    </row>
    <row r="603" spans="10:10" ht="15.75" customHeight="1" x14ac:dyDescent="0.2">
      <c r="J603" s="6"/>
    </row>
    <row r="604" spans="10:10" ht="15.75" customHeight="1" x14ac:dyDescent="0.2">
      <c r="J604" s="6"/>
    </row>
    <row r="605" spans="10:10" ht="15.75" customHeight="1" x14ac:dyDescent="0.2">
      <c r="J605" s="6"/>
    </row>
    <row r="606" spans="10:10" ht="15.75" customHeight="1" x14ac:dyDescent="0.2">
      <c r="J606" s="6"/>
    </row>
    <row r="607" spans="10:10" ht="15.75" customHeight="1" x14ac:dyDescent="0.2">
      <c r="J607" s="6"/>
    </row>
    <row r="608" spans="10:10" ht="15.75" customHeight="1" x14ac:dyDescent="0.2">
      <c r="J608" s="6"/>
    </row>
    <row r="609" spans="10:10" ht="15.75" customHeight="1" x14ac:dyDescent="0.2">
      <c r="J609" s="6"/>
    </row>
    <row r="610" spans="10:10" ht="15.75" customHeight="1" x14ac:dyDescent="0.2">
      <c r="J610" s="6"/>
    </row>
    <row r="611" spans="10:10" ht="15.75" customHeight="1" x14ac:dyDescent="0.2">
      <c r="J611" s="6"/>
    </row>
    <row r="612" spans="10:10" ht="15.75" customHeight="1" x14ac:dyDescent="0.2">
      <c r="J612" s="6"/>
    </row>
    <row r="613" spans="10:10" ht="15.75" customHeight="1" x14ac:dyDescent="0.2">
      <c r="J613" s="6"/>
    </row>
    <row r="614" spans="10:10" ht="15.75" customHeight="1" x14ac:dyDescent="0.2">
      <c r="J614" s="6"/>
    </row>
    <row r="615" spans="10:10" ht="15.75" customHeight="1" x14ac:dyDescent="0.2">
      <c r="J615" s="6"/>
    </row>
    <row r="616" spans="10:10" ht="15.75" customHeight="1" x14ac:dyDescent="0.2">
      <c r="J616" s="6"/>
    </row>
    <row r="617" spans="10:10" ht="15.75" customHeight="1" x14ac:dyDescent="0.2">
      <c r="J617" s="6"/>
    </row>
    <row r="618" spans="10:10" ht="15.75" customHeight="1" x14ac:dyDescent="0.2">
      <c r="J618" s="6"/>
    </row>
    <row r="619" spans="10:10" ht="15.75" customHeight="1" x14ac:dyDescent="0.2">
      <c r="J619" s="6"/>
    </row>
    <row r="620" spans="10:10" ht="15.75" customHeight="1" x14ac:dyDescent="0.2">
      <c r="J620" s="6"/>
    </row>
    <row r="621" spans="10:10" ht="15.75" customHeight="1" x14ac:dyDescent="0.2">
      <c r="J621" s="6"/>
    </row>
    <row r="622" spans="10:10" ht="15.75" customHeight="1" x14ac:dyDescent="0.2">
      <c r="J622" s="6"/>
    </row>
    <row r="623" spans="10:10" ht="15.75" customHeight="1" x14ac:dyDescent="0.2">
      <c r="J623" s="6"/>
    </row>
    <row r="624" spans="10:10" ht="15.75" customHeight="1" x14ac:dyDescent="0.2">
      <c r="J624" s="6"/>
    </row>
    <row r="625" spans="10:10" ht="15.75" customHeight="1" x14ac:dyDescent="0.2">
      <c r="J625" s="6"/>
    </row>
    <row r="626" spans="10:10" ht="15.75" customHeight="1" x14ac:dyDescent="0.2">
      <c r="J626" s="6"/>
    </row>
    <row r="627" spans="10:10" ht="15.75" customHeight="1" x14ac:dyDescent="0.2">
      <c r="J627" s="6"/>
    </row>
    <row r="628" spans="10:10" ht="15.75" customHeight="1" x14ac:dyDescent="0.2">
      <c r="J628" s="6"/>
    </row>
    <row r="629" spans="10:10" ht="15.75" customHeight="1" x14ac:dyDescent="0.2">
      <c r="J629" s="6"/>
    </row>
    <row r="630" spans="10:10" ht="15.75" customHeight="1" x14ac:dyDescent="0.2">
      <c r="J630" s="6"/>
    </row>
    <row r="631" spans="10:10" ht="15.75" customHeight="1" x14ac:dyDescent="0.2">
      <c r="J631" s="6"/>
    </row>
    <row r="632" spans="10:10" ht="15.75" customHeight="1" x14ac:dyDescent="0.2">
      <c r="J632" s="6"/>
    </row>
    <row r="633" spans="10:10" ht="15.75" customHeight="1" x14ac:dyDescent="0.2">
      <c r="J633" s="6"/>
    </row>
    <row r="634" spans="10:10" ht="15.75" customHeight="1" x14ac:dyDescent="0.2">
      <c r="J634" s="6"/>
    </row>
    <row r="635" spans="10:10" ht="15.75" customHeight="1" x14ac:dyDescent="0.2">
      <c r="J635" s="6"/>
    </row>
    <row r="636" spans="10:10" ht="15.75" customHeight="1" x14ac:dyDescent="0.2">
      <c r="J636" s="6"/>
    </row>
    <row r="637" spans="10:10" ht="15.75" customHeight="1" x14ac:dyDescent="0.2">
      <c r="J637" s="6"/>
    </row>
    <row r="638" spans="10:10" ht="15.75" customHeight="1" x14ac:dyDescent="0.2">
      <c r="J638" s="6"/>
    </row>
    <row r="639" spans="10:10" ht="15.75" customHeight="1" x14ac:dyDescent="0.2">
      <c r="J639" s="6"/>
    </row>
    <row r="640" spans="10:10" ht="15.75" customHeight="1" x14ac:dyDescent="0.2">
      <c r="J640" s="6"/>
    </row>
    <row r="641" spans="10:10" ht="15.75" customHeight="1" x14ac:dyDescent="0.2">
      <c r="J641" s="6"/>
    </row>
    <row r="642" spans="10:10" ht="15.75" customHeight="1" x14ac:dyDescent="0.2">
      <c r="J642" s="6"/>
    </row>
    <row r="643" spans="10:10" ht="15.75" customHeight="1" x14ac:dyDescent="0.2">
      <c r="J643" s="6"/>
    </row>
    <row r="644" spans="10:10" ht="15.75" customHeight="1" x14ac:dyDescent="0.2">
      <c r="J644" s="6"/>
    </row>
    <row r="645" spans="10:10" ht="15.75" customHeight="1" x14ac:dyDescent="0.2">
      <c r="J645" s="6"/>
    </row>
    <row r="646" spans="10:10" ht="15.75" customHeight="1" x14ac:dyDescent="0.2">
      <c r="J646" s="6"/>
    </row>
    <row r="647" spans="10:10" ht="15.75" customHeight="1" x14ac:dyDescent="0.2">
      <c r="J647" s="6"/>
    </row>
    <row r="648" spans="10:10" ht="15.75" customHeight="1" x14ac:dyDescent="0.2">
      <c r="J648" s="6"/>
    </row>
    <row r="649" spans="10:10" ht="15.75" customHeight="1" x14ac:dyDescent="0.2">
      <c r="J649" s="6"/>
    </row>
    <row r="650" spans="10:10" ht="15.75" customHeight="1" x14ac:dyDescent="0.2">
      <c r="J650" s="6"/>
    </row>
    <row r="651" spans="10:10" ht="15.75" customHeight="1" x14ac:dyDescent="0.2">
      <c r="J651" s="6"/>
    </row>
    <row r="652" spans="10:10" ht="15.75" customHeight="1" x14ac:dyDescent="0.2">
      <c r="J652" s="6"/>
    </row>
    <row r="653" spans="10:10" ht="15.75" customHeight="1" x14ac:dyDescent="0.2">
      <c r="J653" s="6"/>
    </row>
    <row r="654" spans="10:10" ht="15.75" customHeight="1" x14ac:dyDescent="0.2">
      <c r="J654" s="6"/>
    </row>
    <row r="655" spans="10:10" ht="15.75" customHeight="1" x14ac:dyDescent="0.2">
      <c r="J655" s="6"/>
    </row>
    <row r="656" spans="10:10" ht="15.75" customHeight="1" x14ac:dyDescent="0.2">
      <c r="J656" s="6"/>
    </row>
    <row r="657" spans="10:10" ht="15.75" customHeight="1" x14ac:dyDescent="0.2">
      <c r="J657" s="6"/>
    </row>
    <row r="658" spans="10:10" ht="15.75" customHeight="1" x14ac:dyDescent="0.2">
      <c r="J658" s="6"/>
    </row>
    <row r="659" spans="10:10" ht="15.75" customHeight="1" x14ac:dyDescent="0.2">
      <c r="J659" s="6"/>
    </row>
    <row r="660" spans="10:10" ht="15.75" customHeight="1" x14ac:dyDescent="0.2">
      <c r="J660" s="6"/>
    </row>
    <row r="661" spans="10:10" ht="15.75" customHeight="1" x14ac:dyDescent="0.2">
      <c r="J661" s="6"/>
    </row>
    <row r="662" spans="10:10" ht="15.75" customHeight="1" x14ac:dyDescent="0.2">
      <c r="J662" s="6"/>
    </row>
    <row r="663" spans="10:10" ht="15.75" customHeight="1" x14ac:dyDescent="0.2">
      <c r="J663" s="6"/>
    </row>
    <row r="664" spans="10:10" ht="15.75" customHeight="1" x14ac:dyDescent="0.2">
      <c r="J664" s="6"/>
    </row>
    <row r="665" spans="10:10" ht="15.75" customHeight="1" x14ac:dyDescent="0.2">
      <c r="J665" s="6"/>
    </row>
    <row r="666" spans="10:10" ht="15.75" customHeight="1" x14ac:dyDescent="0.2">
      <c r="J666" s="6"/>
    </row>
    <row r="667" spans="10:10" ht="15.75" customHeight="1" x14ac:dyDescent="0.2">
      <c r="J667" s="6"/>
    </row>
    <row r="668" spans="10:10" ht="15.75" customHeight="1" x14ac:dyDescent="0.2">
      <c r="J668" s="6"/>
    </row>
    <row r="669" spans="10:10" ht="15.75" customHeight="1" x14ac:dyDescent="0.2">
      <c r="J669" s="6"/>
    </row>
    <row r="670" spans="10:10" ht="15.75" customHeight="1" x14ac:dyDescent="0.2">
      <c r="J670" s="6"/>
    </row>
    <row r="671" spans="10:10" ht="15.75" customHeight="1" x14ac:dyDescent="0.2">
      <c r="J671" s="6"/>
    </row>
    <row r="672" spans="10:10" ht="15.75" customHeight="1" x14ac:dyDescent="0.2">
      <c r="J672" s="6"/>
    </row>
    <row r="673" spans="10:10" ht="15.75" customHeight="1" x14ac:dyDescent="0.2">
      <c r="J673" s="6"/>
    </row>
    <row r="674" spans="10:10" ht="15.75" customHeight="1" x14ac:dyDescent="0.2">
      <c r="J674" s="6"/>
    </row>
    <row r="675" spans="10:10" ht="15.75" customHeight="1" x14ac:dyDescent="0.2">
      <c r="J675" s="6"/>
    </row>
    <row r="676" spans="10:10" ht="15.75" customHeight="1" x14ac:dyDescent="0.2">
      <c r="J676" s="6"/>
    </row>
    <row r="677" spans="10:10" ht="15.75" customHeight="1" x14ac:dyDescent="0.2">
      <c r="J677" s="6"/>
    </row>
    <row r="678" spans="10:10" ht="15.75" customHeight="1" x14ac:dyDescent="0.2">
      <c r="J678" s="6"/>
    </row>
    <row r="679" spans="10:10" ht="15.75" customHeight="1" x14ac:dyDescent="0.2">
      <c r="J679" s="6"/>
    </row>
    <row r="680" spans="10:10" ht="15.75" customHeight="1" x14ac:dyDescent="0.2">
      <c r="J680" s="6"/>
    </row>
    <row r="681" spans="10:10" ht="15.75" customHeight="1" x14ac:dyDescent="0.2">
      <c r="J681" s="6"/>
    </row>
    <row r="682" spans="10:10" ht="15.75" customHeight="1" x14ac:dyDescent="0.2">
      <c r="J682" s="6"/>
    </row>
    <row r="683" spans="10:10" ht="15.75" customHeight="1" x14ac:dyDescent="0.2">
      <c r="J683" s="6"/>
    </row>
    <row r="684" spans="10:10" ht="15.75" customHeight="1" x14ac:dyDescent="0.2">
      <c r="J684" s="6"/>
    </row>
    <row r="685" spans="10:10" ht="15.75" customHeight="1" x14ac:dyDescent="0.2">
      <c r="J685" s="6"/>
    </row>
    <row r="686" spans="10:10" ht="15.75" customHeight="1" x14ac:dyDescent="0.2">
      <c r="J686" s="6"/>
    </row>
    <row r="687" spans="10:10" ht="15.75" customHeight="1" x14ac:dyDescent="0.2">
      <c r="J687" s="6"/>
    </row>
    <row r="688" spans="10:10" ht="15.75" customHeight="1" x14ac:dyDescent="0.2">
      <c r="J688" s="6"/>
    </row>
    <row r="689" spans="10:10" ht="15.75" customHeight="1" x14ac:dyDescent="0.2">
      <c r="J689" s="6"/>
    </row>
    <row r="690" spans="10:10" ht="15.75" customHeight="1" x14ac:dyDescent="0.2">
      <c r="J690" s="6"/>
    </row>
    <row r="691" spans="10:10" ht="15.75" customHeight="1" x14ac:dyDescent="0.2">
      <c r="J691" s="6"/>
    </row>
    <row r="692" spans="10:10" ht="15.75" customHeight="1" x14ac:dyDescent="0.2">
      <c r="J692" s="6"/>
    </row>
    <row r="693" spans="10:10" ht="15.75" customHeight="1" x14ac:dyDescent="0.2">
      <c r="J693" s="6"/>
    </row>
    <row r="694" spans="10:10" ht="15.75" customHeight="1" x14ac:dyDescent="0.2">
      <c r="J694" s="6"/>
    </row>
    <row r="695" spans="10:10" ht="15.75" customHeight="1" x14ac:dyDescent="0.2">
      <c r="J695" s="6"/>
    </row>
    <row r="696" spans="10:10" ht="15.75" customHeight="1" x14ac:dyDescent="0.2">
      <c r="J696" s="6"/>
    </row>
    <row r="697" spans="10:10" ht="15.75" customHeight="1" x14ac:dyDescent="0.2">
      <c r="J697" s="6"/>
    </row>
    <row r="698" spans="10:10" ht="15.75" customHeight="1" x14ac:dyDescent="0.2">
      <c r="J698" s="6"/>
    </row>
    <row r="699" spans="10:10" ht="15.75" customHeight="1" x14ac:dyDescent="0.2">
      <c r="J699" s="6"/>
    </row>
    <row r="700" spans="10:10" ht="15.75" customHeight="1" x14ac:dyDescent="0.2">
      <c r="J700" s="6"/>
    </row>
    <row r="701" spans="10:10" ht="15.75" customHeight="1" x14ac:dyDescent="0.2">
      <c r="J701" s="6"/>
    </row>
    <row r="702" spans="10:10" ht="15.75" customHeight="1" x14ac:dyDescent="0.2">
      <c r="J702" s="6"/>
    </row>
    <row r="703" spans="10:10" ht="15.75" customHeight="1" x14ac:dyDescent="0.2">
      <c r="J703" s="6"/>
    </row>
    <row r="704" spans="10:10" ht="15.75" customHeight="1" x14ac:dyDescent="0.2">
      <c r="J704" s="6"/>
    </row>
    <row r="705" spans="10:10" ht="15.75" customHeight="1" x14ac:dyDescent="0.2">
      <c r="J705" s="6"/>
    </row>
    <row r="706" spans="10:10" ht="15.75" customHeight="1" x14ac:dyDescent="0.2">
      <c r="J706" s="6"/>
    </row>
    <row r="707" spans="10:10" ht="15.75" customHeight="1" x14ac:dyDescent="0.2">
      <c r="J707" s="6"/>
    </row>
    <row r="708" spans="10:10" ht="15.75" customHeight="1" x14ac:dyDescent="0.2">
      <c r="J708" s="6"/>
    </row>
    <row r="709" spans="10:10" ht="15.75" customHeight="1" x14ac:dyDescent="0.2">
      <c r="J709" s="6"/>
    </row>
    <row r="710" spans="10:10" ht="15.75" customHeight="1" x14ac:dyDescent="0.2">
      <c r="J710" s="6"/>
    </row>
    <row r="711" spans="10:10" ht="15.75" customHeight="1" x14ac:dyDescent="0.2">
      <c r="J711" s="6"/>
    </row>
    <row r="712" spans="10:10" ht="15.75" customHeight="1" x14ac:dyDescent="0.2">
      <c r="J712" s="6"/>
    </row>
    <row r="713" spans="10:10" ht="15.75" customHeight="1" x14ac:dyDescent="0.2">
      <c r="J713" s="6"/>
    </row>
    <row r="714" spans="10:10" ht="15.75" customHeight="1" x14ac:dyDescent="0.2">
      <c r="J714" s="6"/>
    </row>
    <row r="715" spans="10:10" ht="15.75" customHeight="1" x14ac:dyDescent="0.2">
      <c r="J715" s="6"/>
    </row>
    <row r="716" spans="10:10" ht="15.75" customHeight="1" x14ac:dyDescent="0.2">
      <c r="J716" s="6"/>
    </row>
    <row r="717" spans="10:10" ht="15.75" customHeight="1" x14ac:dyDescent="0.2">
      <c r="J717" s="6"/>
    </row>
    <row r="718" spans="10:10" ht="15.75" customHeight="1" x14ac:dyDescent="0.2">
      <c r="J718" s="6"/>
    </row>
    <row r="719" spans="10:10" ht="15.75" customHeight="1" x14ac:dyDescent="0.2">
      <c r="J719" s="6"/>
    </row>
    <row r="720" spans="10:10" ht="15.75" customHeight="1" x14ac:dyDescent="0.2">
      <c r="J720" s="6"/>
    </row>
    <row r="721" spans="10:10" ht="15.75" customHeight="1" x14ac:dyDescent="0.2">
      <c r="J721" s="6"/>
    </row>
    <row r="722" spans="10:10" ht="15.75" customHeight="1" x14ac:dyDescent="0.2">
      <c r="J722" s="6"/>
    </row>
    <row r="723" spans="10:10" ht="15.75" customHeight="1" x14ac:dyDescent="0.2">
      <c r="J723" s="6"/>
    </row>
    <row r="724" spans="10:10" ht="15.75" customHeight="1" x14ac:dyDescent="0.2">
      <c r="J724" s="6"/>
    </row>
    <row r="725" spans="10:10" ht="15.75" customHeight="1" x14ac:dyDescent="0.2">
      <c r="J725" s="6"/>
    </row>
    <row r="726" spans="10:10" ht="15.75" customHeight="1" x14ac:dyDescent="0.2">
      <c r="J726" s="6"/>
    </row>
    <row r="727" spans="10:10" ht="15.75" customHeight="1" x14ac:dyDescent="0.2">
      <c r="J727" s="6"/>
    </row>
    <row r="728" spans="10:10" ht="15.75" customHeight="1" x14ac:dyDescent="0.2">
      <c r="J728" s="6"/>
    </row>
    <row r="729" spans="10:10" ht="15.75" customHeight="1" x14ac:dyDescent="0.2">
      <c r="J729" s="6"/>
    </row>
    <row r="730" spans="10:10" ht="15.75" customHeight="1" x14ac:dyDescent="0.2">
      <c r="J730" s="6"/>
    </row>
    <row r="731" spans="10:10" ht="15.75" customHeight="1" x14ac:dyDescent="0.2">
      <c r="J731" s="6"/>
    </row>
    <row r="732" spans="10:10" ht="15.75" customHeight="1" x14ac:dyDescent="0.2">
      <c r="J732" s="6"/>
    </row>
    <row r="733" spans="10:10" ht="15.75" customHeight="1" x14ac:dyDescent="0.2">
      <c r="J733" s="6"/>
    </row>
    <row r="734" spans="10:10" ht="15.75" customHeight="1" x14ac:dyDescent="0.2">
      <c r="J734" s="6"/>
    </row>
    <row r="735" spans="10:10" ht="15.75" customHeight="1" x14ac:dyDescent="0.2">
      <c r="J735" s="6"/>
    </row>
    <row r="736" spans="10:10" ht="15.75" customHeight="1" x14ac:dyDescent="0.2">
      <c r="J736" s="6"/>
    </row>
    <row r="737" spans="10:10" ht="15.75" customHeight="1" x14ac:dyDescent="0.2">
      <c r="J737" s="6"/>
    </row>
    <row r="738" spans="10:10" ht="15.75" customHeight="1" x14ac:dyDescent="0.2">
      <c r="J738" s="6"/>
    </row>
    <row r="739" spans="10:10" ht="15.75" customHeight="1" x14ac:dyDescent="0.2">
      <c r="J739" s="6"/>
    </row>
    <row r="740" spans="10:10" ht="15.75" customHeight="1" x14ac:dyDescent="0.2">
      <c r="J740" s="6"/>
    </row>
    <row r="741" spans="10:10" ht="15.75" customHeight="1" x14ac:dyDescent="0.2">
      <c r="J741" s="6"/>
    </row>
    <row r="742" spans="10:10" ht="15.75" customHeight="1" x14ac:dyDescent="0.2">
      <c r="J742" s="6"/>
    </row>
    <row r="743" spans="10:10" ht="15.75" customHeight="1" x14ac:dyDescent="0.2">
      <c r="J743" s="6"/>
    </row>
    <row r="744" spans="10:10" ht="15.75" customHeight="1" x14ac:dyDescent="0.2">
      <c r="J744" s="6"/>
    </row>
    <row r="745" spans="10:10" ht="15.75" customHeight="1" x14ac:dyDescent="0.2">
      <c r="J745" s="6"/>
    </row>
    <row r="746" spans="10:10" ht="15.75" customHeight="1" x14ac:dyDescent="0.2">
      <c r="J746" s="6"/>
    </row>
    <row r="747" spans="10:10" ht="15.75" customHeight="1" x14ac:dyDescent="0.2">
      <c r="J747" s="6"/>
    </row>
    <row r="748" spans="10:10" ht="15.75" customHeight="1" x14ac:dyDescent="0.2">
      <c r="J748" s="6"/>
    </row>
    <row r="749" spans="10:10" ht="15.75" customHeight="1" x14ac:dyDescent="0.2">
      <c r="J749" s="6"/>
    </row>
    <row r="750" spans="10:10" ht="15.75" customHeight="1" x14ac:dyDescent="0.2">
      <c r="J750" s="6"/>
    </row>
    <row r="751" spans="10:10" ht="15.75" customHeight="1" x14ac:dyDescent="0.2">
      <c r="J751" s="6"/>
    </row>
    <row r="752" spans="10:10" ht="15.75" customHeight="1" x14ac:dyDescent="0.2">
      <c r="J752" s="6"/>
    </row>
    <row r="753" spans="10:10" ht="15.75" customHeight="1" x14ac:dyDescent="0.2">
      <c r="J753" s="6"/>
    </row>
    <row r="754" spans="10:10" ht="15.75" customHeight="1" x14ac:dyDescent="0.2">
      <c r="J754" s="6"/>
    </row>
    <row r="755" spans="10:10" ht="15.75" customHeight="1" x14ac:dyDescent="0.2">
      <c r="J755" s="6"/>
    </row>
    <row r="756" spans="10:10" ht="15.75" customHeight="1" x14ac:dyDescent="0.2">
      <c r="J756" s="6"/>
    </row>
    <row r="757" spans="10:10" ht="15.75" customHeight="1" x14ac:dyDescent="0.2">
      <c r="J757" s="6"/>
    </row>
    <row r="758" spans="10:10" ht="15.75" customHeight="1" x14ac:dyDescent="0.2">
      <c r="J758" s="6"/>
    </row>
    <row r="759" spans="10:10" ht="15.75" customHeight="1" x14ac:dyDescent="0.2">
      <c r="J759" s="6"/>
    </row>
    <row r="760" spans="10:10" ht="15.75" customHeight="1" x14ac:dyDescent="0.2">
      <c r="J760" s="6"/>
    </row>
    <row r="761" spans="10:10" ht="15.75" customHeight="1" x14ac:dyDescent="0.2">
      <c r="J761" s="6"/>
    </row>
    <row r="762" spans="10:10" ht="15.75" customHeight="1" x14ac:dyDescent="0.2">
      <c r="J762" s="6"/>
    </row>
    <row r="763" spans="10:10" ht="15.75" customHeight="1" x14ac:dyDescent="0.2">
      <c r="J763" s="6"/>
    </row>
    <row r="764" spans="10:10" ht="15.75" customHeight="1" x14ac:dyDescent="0.2">
      <c r="J764" s="6"/>
    </row>
    <row r="765" spans="10:10" ht="15.75" customHeight="1" x14ac:dyDescent="0.2">
      <c r="J765" s="6"/>
    </row>
    <row r="766" spans="10:10" ht="15.75" customHeight="1" x14ac:dyDescent="0.2">
      <c r="J766" s="6"/>
    </row>
    <row r="767" spans="10:10" ht="15.75" customHeight="1" x14ac:dyDescent="0.2">
      <c r="J767" s="6"/>
    </row>
    <row r="768" spans="10:10" ht="15.75" customHeight="1" x14ac:dyDescent="0.2">
      <c r="J768" s="6"/>
    </row>
    <row r="769" spans="10:10" ht="15.75" customHeight="1" x14ac:dyDescent="0.2">
      <c r="J769" s="6"/>
    </row>
    <row r="770" spans="10:10" ht="15.75" customHeight="1" x14ac:dyDescent="0.2">
      <c r="J770" s="6"/>
    </row>
    <row r="771" spans="10:10" ht="15.75" customHeight="1" x14ac:dyDescent="0.2">
      <c r="J771" s="6"/>
    </row>
    <row r="772" spans="10:10" ht="15.75" customHeight="1" x14ac:dyDescent="0.2">
      <c r="J772" s="6"/>
    </row>
    <row r="773" spans="10:10" ht="15.75" customHeight="1" x14ac:dyDescent="0.2">
      <c r="J773" s="6"/>
    </row>
    <row r="774" spans="10:10" ht="15.75" customHeight="1" x14ac:dyDescent="0.2">
      <c r="J774" s="6"/>
    </row>
    <row r="775" spans="10:10" ht="15.75" customHeight="1" x14ac:dyDescent="0.2">
      <c r="J775" s="6"/>
    </row>
    <row r="776" spans="10:10" ht="15.75" customHeight="1" x14ac:dyDescent="0.2">
      <c r="J776" s="6"/>
    </row>
    <row r="777" spans="10:10" ht="15.75" customHeight="1" x14ac:dyDescent="0.2">
      <c r="J777" s="6"/>
    </row>
    <row r="778" spans="10:10" ht="15.75" customHeight="1" x14ac:dyDescent="0.2">
      <c r="J778" s="6"/>
    </row>
    <row r="779" spans="10:10" ht="15.75" customHeight="1" x14ac:dyDescent="0.2">
      <c r="J779" s="6"/>
    </row>
    <row r="780" spans="10:10" ht="15.75" customHeight="1" x14ac:dyDescent="0.2">
      <c r="J780" s="6"/>
    </row>
    <row r="781" spans="10:10" ht="15.75" customHeight="1" x14ac:dyDescent="0.2">
      <c r="J781" s="6"/>
    </row>
    <row r="782" spans="10:10" ht="15.75" customHeight="1" x14ac:dyDescent="0.2">
      <c r="J782" s="6"/>
    </row>
    <row r="783" spans="10:10" ht="15.75" customHeight="1" x14ac:dyDescent="0.2">
      <c r="J783" s="6"/>
    </row>
    <row r="784" spans="10:10" ht="15.75" customHeight="1" x14ac:dyDescent="0.2">
      <c r="J784" s="6"/>
    </row>
    <row r="785" spans="10:10" ht="15.75" customHeight="1" x14ac:dyDescent="0.2">
      <c r="J785" s="6"/>
    </row>
    <row r="786" spans="10:10" ht="15.75" customHeight="1" x14ac:dyDescent="0.2">
      <c r="J786" s="6"/>
    </row>
    <row r="787" spans="10:10" ht="15.75" customHeight="1" x14ac:dyDescent="0.2">
      <c r="J787" s="6"/>
    </row>
    <row r="788" spans="10:10" ht="15.75" customHeight="1" x14ac:dyDescent="0.2">
      <c r="J788" s="6"/>
    </row>
    <row r="789" spans="10:10" ht="15.75" customHeight="1" x14ac:dyDescent="0.2">
      <c r="J789" s="6"/>
    </row>
    <row r="790" spans="10:10" ht="15.75" customHeight="1" x14ac:dyDescent="0.2">
      <c r="J790" s="6"/>
    </row>
    <row r="791" spans="10:10" ht="15.75" customHeight="1" x14ac:dyDescent="0.2">
      <c r="J791" s="6"/>
    </row>
    <row r="792" spans="10:10" ht="15.75" customHeight="1" x14ac:dyDescent="0.2">
      <c r="J792" s="6"/>
    </row>
    <row r="793" spans="10:10" ht="15.75" customHeight="1" x14ac:dyDescent="0.2">
      <c r="J793" s="6"/>
    </row>
    <row r="794" spans="10:10" ht="15.75" customHeight="1" x14ac:dyDescent="0.2">
      <c r="J794" s="6"/>
    </row>
    <row r="795" spans="10:10" ht="15.75" customHeight="1" x14ac:dyDescent="0.2">
      <c r="J795" s="6"/>
    </row>
    <row r="796" spans="10:10" ht="15.75" customHeight="1" x14ac:dyDescent="0.2">
      <c r="J796" s="6"/>
    </row>
    <row r="797" spans="10:10" ht="15.75" customHeight="1" x14ac:dyDescent="0.2">
      <c r="J797" s="6"/>
    </row>
    <row r="798" spans="10:10" ht="15.75" customHeight="1" x14ac:dyDescent="0.2">
      <c r="J798" s="6"/>
    </row>
    <row r="799" spans="10:10" ht="15.75" customHeight="1" x14ac:dyDescent="0.2">
      <c r="J799" s="6"/>
    </row>
    <row r="800" spans="10:10" ht="15.75" customHeight="1" x14ac:dyDescent="0.2">
      <c r="J800" s="6"/>
    </row>
    <row r="801" spans="10:10" ht="15.75" customHeight="1" x14ac:dyDescent="0.2">
      <c r="J801" s="6"/>
    </row>
    <row r="802" spans="10:10" ht="15.75" customHeight="1" x14ac:dyDescent="0.2">
      <c r="J802" s="6"/>
    </row>
    <row r="803" spans="10:10" ht="15.75" customHeight="1" x14ac:dyDescent="0.2">
      <c r="J803" s="6"/>
    </row>
    <row r="804" spans="10:10" ht="15.75" customHeight="1" x14ac:dyDescent="0.2">
      <c r="J804" s="6"/>
    </row>
    <row r="805" spans="10:10" ht="15.75" customHeight="1" x14ac:dyDescent="0.2">
      <c r="J805" s="6"/>
    </row>
    <row r="806" spans="10:10" ht="15.75" customHeight="1" x14ac:dyDescent="0.2">
      <c r="J806" s="6"/>
    </row>
    <row r="807" spans="10:10" ht="15.75" customHeight="1" x14ac:dyDescent="0.2">
      <c r="J807" s="6"/>
    </row>
    <row r="808" spans="10:10" ht="15.75" customHeight="1" x14ac:dyDescent="0.2">
      <c r="J808" s="6"/>
    </row>
    <row r="809" spans="10:10" ht="15.75" customHeight="1" x14ac:dyDescent="0.2">
      <c r="J809" s="6"/>
    </row>
    <row r="810" spans="10:10" ht="15.75" customHeight="1" x14ac:dyDescent="0.2">
      <c r="J810" s="6"/>
    </row>
    <row r="811" spans="10:10" ht="15.75" customHeight="1" x14ac:dyDescent="0.2">
      <c r="J811" s="6"/>
    </row>
    <row r="812" spans="10:10" ht="15.75" customHeight="1" x14ac:dyDescent="0.2">
      <c r="J812" s="6"/>
    </row>
    <row r="813" spans="10:10" ht="15.75" customHeight="1" x14ac:dyDescent="0.2">
      <c r="J813" s="6"/>
    </row>
    <row r="814" spans="10:10" ht="15.75" customHeight="1" x14ac:dyDescent="0.2">
      <c r="J814" s="6"/>
    </row>
    <row r="815" spans="10:10" ht="15.75" customHeight="1" x14ac:dyDescent="0.2">
      <c r="J815" s="6"/>
    </row>
    <row r="816" spans="10:10" ht="15.75" customHeight="1" x14ac:dyDescent="0.2">
      <c r="J816" s="6"/>
    </row>
    <row r="817" spans="10:10" ht="15.75" customHeight="1" x14ac:dyDescent="0.2">
      <c r="J817" s="6"/>
    </row>
    <row r="818" spans="10:10" ht="15.75" customHeight="1" x14ac:dyDescent="0.2">
      <c r="J818" s="6"/>
    </row>
    <row r="819" spans="10:10" ht="15.75" customHeight="1" x14ac:dyDescent="0.2">
      <c r="J819" s="6"/>
    </row>
    <row r="820" spans="10:10" ht="15.75" customHeight="1" x14ac:dyDescent="0.2">
      <c r="J820" s="6"/>
    </row>
    <row r="821" spans="10:10" ht="15.75" customHeight="1" x14ac:dyDescent="0.2">
      <c r="J821" s="6"/>
    </row>
    <row r="822" spans="10:10" ht="15.75" customHeight="1" x14ac:dyDescent="0.2">
      <c r="J822" s="6"/>
    </row>
    <row r="823" spans="10:10" ht="15.75" customHeight="1" x14ac:dyDescent="0.2">
      <c r="J823" s="6"/>
    </row>
    <row r="824" spans="10:10" ht="15.75" customHeight="1" x14ac:dyDescent="0.2">
      <c r="J824" s="6"/>
    </row>
    <row r="825" spans="10:10" ht="15.75" customHeight="1" x14ac:dyDescent="0.2">
      <c r="J825" s="6"/>
    </row>
    <row r="826" spans="10:10" ht="15.75" customHeight="1" x14ac:dyDescent="0.2">
      <c r="J826" s="6"/>
    </row>
    <row r="827" spans="10:10" ht="15.75" customHeight="1" x14ac:dyDescent="0.2">
      <c r="J827" s="6"/>
    </row>
    <row r="828" spans="10:10" ht="15.75" customHeight="1" x14ac:dyDescent="0.2">
      <c r="J828" s="6"/>
    </row>
    <row r="829" spans="10:10" ht="15.75" customHeight="1" x14ac:dyDescent="0.2">
      <c r="J829" s="6"/>
    </row>
    <row r="830" spans="10:10" ht="15.75" customHeight="1" x14ac:dyDescent="0.2">
      <c r="J830" s="6"/>
    </row>
    <row r="831" spans="10:10" ht="15.75" customHeight="1" x14ac:dyDescent="0.2">
      <c r="J831" s="6"/>
    </row>
    <row r="832" spans="10:10" ht="15.75" customHeight="1" x14ac:dyDescent="0.2">
      <c r="J832" s="6"/>
    </row>
    <row r="833" spans="10:10" ht="15.75" customHeight="1" x14ac:dyDescent="0.2">
      <c r="J833" s="6"/>
    </row>
    <row r="834" spans="10:10" ht="15.75" customHeight="1" x14ac:dyDescent="0.2">
      <c r="J834" s="6"/>
    </row>
    <row r="835" spans="10:10" ht="15.75" customHeight="1" x14ac:dyDescent="0.2">
      <c r="J835" s="6"/>
    </row>
    <row r="836" spans="10:10" ht="15.75" customHeight="1" x14ac:dyDescent="0.2">
      <c r="J836" s="6"/>
    </row>
    <row r="837" spans="10:10" ht="15.75" customHeight="1" x14ac:dyDescent="0.2">
      <c r="J837" s="6"/>
    </row>
    <row r="838" spans="10:10" ht="15.75" customHeight="1" x14ac:dyDescent="0.2">
      <c r="J838" s="6"/>
    </row>
    <row r="839" spans="10:10" ht="15.75" customHeight="1" x14ac:dyDescent="0.2">
      <c r="J839" s="6"/>
    </row>
    <row r="840" spans="10:10" ht="15.75" customHeight="1" x14ac:dyDescent="0.2">
      <c r="J840" s="6"/>
    </row>
    <row r="841" spans="10:10" ht="15.75" customHeight="1" x14ac:dyDescent="0.2">
      <c r="J841" s="6"/>
    </row>
    <row r="842" spans="10:10" ht="15.75" customHeight="1" x14ac:dyDescent="0.2">
      <c r="J842" s="6"/>
    </row>
    <row r="843" spans="10:10" ht="15.75" customHeight="1" x14ac:dyDescent="0.2">
      <c r="J843" s="6"/>
    </row>
    <row r="844" spans="10:10" ht="15.75" customHeight="1" x14ac:dyDescent="0.2">
      <c r="J844" s="6"/>
    </row>
    <row r="845" spans="10:10" ht="15.75" customHeight="1" x14ac:dyDescent="0.2">
      <c r="J845" s="6"/>
    </row>
    <row r="846" spans="10:10" ht="15.75" customHeight="1" x14ac:dyDescent="0.2">
      <c r="J846" s="6"/>
    </row>
    <row r="847" spans="10:10" ht="15.75" customHeight="1" x14ac:dyDescent="0.2">
      <c r="J847" s="6"/>
    </row>
    <row r="848" spans="10:10" ht="15.75" customHeight="1" x14ac:dyDescent="0.2">
      <c r="J848" s="6"/>
    </row>
    <row r="849" spans="10:10" ht="15.75" customHeight="1" x14ac:dyDescent="0.2">
      <c r="J849" s="6"/>
    </row>
    <row r="850" spans="10:10" ht="15.75" customHeight="1" x14ac:dyDescent="0.2">
      <c r="J850" s="6"/>
    </row>
    <row r="851" spans="10:10" ht="15.75" customHeight="1" x14ac:dyDescent="0.2">
      <c r="J851" s="6"/>
    </row>
    <row r="852" spans="10:10" ht="15.75" customHeight="1" x14ac:dyDescent="0.2">
      <c r="J852" s="6"/>
    </row>
    <row r="853" spans="10:10" ht="15.75" customHeight="1" x14ac:dyDescent="0.2">
      <c r="J853" s="6"/>
    </row>
    <row r="854" spans="10:10" ht="15.75" customHeight="1" x14ac:dyDescent="0.2">
      <c r="J854" s="6"/>
    </row>
    <row r="855" spans="10:10" ht="15.75" customHeight="1" x14ac:dyDescent="0.2">
      <c r="J855" s="6"/>
    </row>
    <row r="856" spans="10:10" ht="15.75" customHeight="1" x14ac:dyDescent="0.2">
      <c r="J856" s="6"/>
    </row>
    <row r="857" spans="10:10" ht="15.75" customHeight="1" x14ac:dyDescent="0.2">
      <c r="J857" s="6"/>
    </row>
    <row r="858" spans="10:10" ht="15.75" customHeight="1" x14ac:dyDescent="0.2">
      <c r="J858" s="6"/>
    </row>
    <row r="859" spans="10:10" ht="15.75" customHeight="1" x14ac:dyDescent="0.2">
      <c r="J859" s="6"/>
    </row>
    <row r="860" spans="10:10" ht="15.75" customHeight="1" x14ac:dyDescent="0.2">
      <c r="J860" s="6"/>
    </row>
    <row r="861" spans="10:10" ht="15.75" customHeight="1" x14ac:dyDescent="0.2">
      <c r="J861" s="6"/>
    </row>
    <row r="862" spans="10:10" ht="15.75" customHeight="1" x14ac:dyDescent="0.2">
      <c r="J862" s="6"/>
    </row>
    <row r="863" spans="10:10" ht="15.75" customHeight="1" x14ac:dyDescent="0.2">
      <c r="J863" s="6"/>
    </row>
    <row r="864" spans="10:10" ht="15.75" customHeight="1" x14ac:dyDescent="0.2">
      <c r="J864" s="6"/>
    </row>
    <row r="865" spans="10:10" ht="15.75" customHeight="1" x14ac:dyDescent="0.2">
      <c r="J865" s="6"/>
    </row>
    <row r="866" spans="10:10" ht="15.75" customHeight="1" x14ac:dyDescent="0.2">
      <c r="J866" s="6"/>
    </row>
    <row r="867" spans="10:10" ht="15.75" customHeight="1" x14ac:dyDescent="0.2">
      <c r="J867" s="6"/>
    </row>
    <row r="868" spans="10:10" ht="15.75" customHeight="1" x14ac:dyDescent="0.2">
      <c r="J868" s="6"/>
    </row>
    <row r="869" spans="10:10" ht="15.75" customHeight="1" x14ac:dyDescent="0.2">
      <c r="J869" s="6"/>
    </row>
    <row r="870" spans="10:10" ht="15.75" customHeight="1" x14ac:dyDescent="0.2">
      <c r="J870" s="6"/>
    </row>
    <row r="871" spans="10:10" ht="15.75" customHeight="1" x14ac:dyDescent="0.2">
      <c r="J871" s="6"/>
    </row>
    <row r="872" spans="10:10" ht="15.75" customHeight="1" x14ac:dyDescent="0.2">
      <c r="J872" s="6"/>
    </row>
    <row r="873" spans="10:10" ht="15.75" customHeight="1" x14ac:dyDescent="0.2">
      <c r="J873" s="6"/>
    </row>
    <row r="874" spans="10:10" ht="15.75" customHeight="1" x14ac:dyDescent="0.2">
      <c r="J874" s="6"/>
    </row>
    <row r="875" spans="10:10" ht="15.75" customHeight="1" x14ac:dyDescent="0.2">
      <c r="J875" s="6"/>
    </row>
    <row r="876" spans="10:10" ht="15.75" customHeight="1" x14ac:dyDescent="0.2">
      <c r="J876" s="6"/>
    </row>
    <row r="877" spans="10:10" ht="15.75" customHeight="1" x14ac:dyDescent="0.2">
      <c r="J877" s="6"/>
    </row>
    <row r="878" spans="10:10" ht="15.75" customHeight="1" x14ac:dyDescent="0.2">
      <c r="J878" s="6"/>
    </row>
    <row r="879" spans="10:10" ht="15.75" customHeight="1" x14ac:dyDescent="0.2">
      <c r="J879" s="6"/>
    </row>
    <row r="880" spans="10:10" ht="15.75" customHeight="1" x14ac:dyDescent="0.2">
      <c r="J880" s="6"/>
    </row>
    <row r="881" spans="10:10" ht="15.75" customHeight="1" x14ac:dyDescent="0.2">
      <c r="J881" s="6"/>
    </row>
    <row r="882" spans="10:10" ht="15.75" customHeight="1" x14ac:dyDescent="0.2">
      <c r="J882" s="6"/>
    </row>
    <row r="883" spans="10:10" ht="15.75" customHeight="1" x14ac:dyDescent="0.2">
      <c r="J883" s="6"/>
    </row>
    <row r="884" spans="10:10" ht="15.75" customHeight="1" x14ac:dyDescent="0.2">
      <c r="J884" s="6"/>
    </row>
    <row r="885" spans="10:10" ht="15.75" customHeight="1" x14ac:dyDescent="0.2">
      <c r="J885" s="6"/>
    </row>
    <row r="886" spans="10:10" ht="15.75" customHeight="1" x14ac:dyDescent="0.2">
      <c r="J886" s="6"/>
    </row>
    <row r="887" spans="10:10" ht="15.75" customHeight="1" x14ac:dyDescent="0.2">
      <c r="J887" s="6"/>
    </row>
    <row r="888" spans="10:10" ht="15.75" customHeight="1" x14ac:dyDescent="0.2">
      <c r="J888" s="6"/>
    </row>
    <row r="889" spans="10:10" ht="15.75" customHeight="1" x14ac:dyDescent="0.2">
      <c r="J889" s="6"/>
    </row>
    <row r="890" spans="10:10" ht="15.75" customHeight="1" x14ac:dyDescent="0.2">
      <c r="J890" s="6"/>
    </row>
    <row r="891" spans="10:10" ht="15.75" customHeight="1" x14ac:dyDescent="0.2">
      <c r="J891" s="6"/>
    </row>
    <row r="892" spans="10:10" ht="15.75" customHeight="1" x14ac:dyDescent="0.2">
      <c r="J892" s="6"/>
    </row>
    <row r="893" spans="10:10" ht="15.75" customHeight="1" x14ac:dyDescent="0.2">
      <c r="J893" s="6"/>
    </row>
    <row r="894" spans="10:10" ht="15.75" customHeight="1" x14ac:dyDescent="0.2">
      <c r="J894" s="6"/>
    </row>
    <row r="895" spans="10:10" ht="15.75" customHeight="1" x14ac:dyDescent="0.2">
      <c r="J895" s="6"/>
    </row>
    <row r="896" spans="10:10" ht="15.75" customHeight="1" x14ac:dyDescent="0.2">
      <c r="J896" s="6"/>
    </row>
    <row r="897" spans="10:10" ht="15.75" customHeight="1" x14ac:dyDescent="0.2">
      <c r="J897" s="6"/>
    </row>
    <row r="898" spans="10:10" ht="15.75" customHeight="1" x14ac:dyDescent="0.2">
      <c r="J898" s="6"/>
    </row>
    <row r="899" spans="10:10" ht="15.75" customHeight="1" x14ac:dyDescent="0.2">
      <c r="J899" s="6"/>
    </row>
    <row r="900" spans="10:10" ht="15.75" customHeight="1" x14ac:dyDescent="0.2">
      <c r="J900" s="6"/>
    </row>
    <row r="901" spans="10:10" ht="15.75" customHeight="1" x14ac:dyDescent="0.2">
      <c r="J901" s="6"/>
    </row>
    <row r="902" spans="10:10" ht="15.75" customHeight="1" x14ac:dyDescent="0.2">
      <c r="J902" s="6"/>
    </row>
    <row r="903" spans="10:10" ht="15.75" customHeight="1" x14ac:dyDescent="0.2">
      <c r="J903" s="6"/>
    </row>
    <row r="904" spans="10:10" ht="15.75" customHeight="1" x14ac:dyDescent="0.2">
      <c r="J904" s="6"/>
    </row>
    <row r="905" spans="10:10" ht="15.75" customHeight="1" x14ac:dyDescent="0.2">
      <c r="J905" s="6"/>
    </row>
    <row r="906" spans="10:10" ht="15.75" customHeight="1" x14ac:dyDescent="0.2">
      <c r="J906" s="6"/>
    </row>
    <row r="907" spans="10:10" ht="15.75" customHeight="1" x14ac:dyDescent="0.2">
      <c r="J907" s="6"/>
    </row>
    <row r="908" spans="10:10" ht="15.75" customHeight="1" x14ac:dyDescent="0.2">
      <c r="J908" s="6"/>
    </row>
    <row r="909" spans="10:10" ht="15.75" customHeight="1" x14ac:dyDescent="0.2">
      <c r="J909" s="6"/>
    </row>
    <row r="910" spans="10:10" ht="15.75" customHeight="1" x14ac:dyDescent="0.2">
      <c r="J910" s="6"/>
    </row>
    <row r="911" spans="10:10" ht="15.75" customHeight="1" x14ac:dyDescent="0.2">
      <c r="J911" s="6"/>
    </row>
    <row r="912" spans="10:10" ht="15.75" customHeight="1" x14ac:dyDescent="0.2">
      <c r="J912" s="6"/>
    </row>
    <row r="913" spans="10:10" ht="15.75" customHeight="1" x14ac:dyDescent="0.2">
      <c r="J913" s="6"/>
    </row>
    <row r="914" spans="10:10" ht="15.75" customHeight="1" x14ac:dyDescent="0.2">
      <c r="J914" s="6"/>
    </row>
    <row r="915" spans="10:10" ht="15.75" customHeight="1" x14ac:dyDescent="0.2">
      <c r="J915" s="6"/>
    </row>
    <row r="916" spans="10:10" ht="15.75" customHeight="1" x14ac:dyDescent="0.2">
      <c r="J916" s="6"/>
    </row>
    <row r="917" spans="10:10" ht="15.75" customHeight="1" x14ac:dyDescent="0.2">
      <c r="J917" s="6"/>
    </row>
    <row r="918" spans="10:10" ht="15.75" customHeight="1" x14ac:dyDescent="0.2">
      <c r="J918" s="6"/>
    </row>
    <row r="919" spans="10:10" ht="15.75" customHeight="1" x14ac:dyDescent="0.2">
      <c r="J919" s="6"/>
    </row>
    <row r="920" spans="10:10" ht="15.75" customHeight="1" x14ac:dyDescent="0.2">
      <c r="J920" s="6"/>
    </row>
    <row r="921" spans="10:10" ht="15.75" customHeight="1" x14ac:dyDescent="0.2">
      <c r="J921" s="6"/>
    </row>
    <row r="922" spans="10:10" ht="15.75" customHeight="1" x14ac:dyDescent="0.2">
      <c r="J922" s="6"/>
    </row>
    <row r="923" spans="10:10" ht="15.75" customHeight="1" x14ac:dyDescent="0.2">
      <c r="J923" s="6"/>
    </row>
    <row r="924" spans="10:10" ht="15.75" customHeight="1" x14ac:dyDescent="0.2">
      <c r="J924" s="6"/>
    </row>
    <row r="925" spans="10:10" ht="15.75" customHeight="1" x14ac:dyDescent="0.2">
      <c r="J925" s="6"/>
    </row>
    <row r="926" spans="10:10" ht="15.75" customHeight="1" x14ac:dyDescent="0.2">
      <c r="J926" s="6"/>
    </row>
    <row r="927" spans="10:10" ht="15.75" customHeight="1" x14ac:dyDescent="0.2">
      <c r="J927" s="6"/>
    </row>
    <row r="928" spans="10:10" ht="15.75" customHeight="1" x14ac:dyDescent="0.2">
      <c r="J928" s="6"/>
    </row>
    <row r="929" spans="10:10" ht="15.75" customHeight="1" x14ac:dyDescent="0.2">
      <c r="J929" s="6"/>
    </row>
    <row r="930" spans="10:10" ht="15.75" customHeight="1" x14ac:dyDescent="0.2">
      <c r="J930" s="6"/>
    </row>
    <row r="931" spans="10:10" ht="15.75" customHeight="1" x14ac:dyDescent="0.2">
      <c r="J931" s="6"/>
    </row>
    <row r="932" spans="10:10" ht="15.75" customHeight="1" x14ac:dyDescent="0.2">
      <c r="J932" s="6"/>
    </row>
    <row r="933" spans="10:10" ht="15.75" customHeight="1" x14ac:dyDescent="0.2">
      <c r="J933" s="6"/>
    </row>
    <row r="934" spans="10:10" ht="15.75" customHeight="1" x14ac:dyDescent="0.2">
      <c r="J934" s="6"/>
    </row>
    <row r="935" spans="10:10" ht="15.75" customHeight="1" x14ac:dyDescent="0.2">
      <c r="J935" s="6"/>
    </row>
    <row r="936" spans="10:10" ht="15.75" customHeight="1" x14ac:dyDescent="0.2">
      <c r="J936" s="6"/>
    </row>
    <row r="937" spans="10:10" ht="15.75" customHeight="1" x14ac:dyDescent="0.2">
      <c r="J937" s="6"/>
    </row>
    <row r="938" spans="10:10" ht="15.75" customHeight="1" x14ac:dyDescent="0.2">
      <c r="J938" s="6"/>
    </row>
    <row r="939" spans="10:10" ht="15.75" customHeight="1" x14ac:dyDescent="0.2">
      <c r="J939" s="6"/>
    </row>
    <row r="940" spans="10:10" ht="15.75" customHeight="1" x14ac:dyDescent="0.2">
      <c r="J940" s="6"/>
    </row>
    <row r="941" spans="10:10" ht="15.75" customHeight="1" x14ac:dyDescent="0.2">
      <c r="J941" s="6"/>
    </row>
    <row r="942" spans="10:10" ht="15.75" customHeight="1" x14ac:dyDescent="0.2">
      <c r="J942" s="6"/>
    </row>
    <row r="943" spans="10:10" ht="15.75" customHeight="1" x14ac:dyDescent="0.2">
      <c r="J943" s="6"/>
    </row>
    <row r="944" spans="10:10" ht="15.75" customHeight="1" x14ac:dyDescent="0.2">
      <c r="J944" s="6"/>
    </row>
    <row r="945" spans="10:10" ht="15.75" customHeight="1" x14ac:dyDescent="0.2">
      <c r="J945" s="6"/>
    </row>
    <row r="946" spans="10:10" ht="15.75" customHeight="1" x14ac:dyDescent="0.2">
      <c r="J946" s="6"/>
    </row>
    <row r="947" spans="10:10" ht="15.75" customHeight="1" x14ac:dyDescent="0.2">
      <c r="J947" s="6"/>
    </row>
    <row r="948" spans="10:10" ht="15.75" customHeight="1" x14ac:dyDescent="0.2">
      <c r="J948" s="6"/>
    </row>
    <row r="949" spans="10:10" ht="15.75" customHeight="1" x14ac:dyDescent="0.2">
      <c r="J949" s="6"/>
    </row>
    <row r="950" spans="10:10" ht="15.75" customHeight="1" x14ac:dyDescent="0.2">
      <c r="J950" s="6"/>
    </row>
    <row r="951" spans="10:10" ht="15.75" customHeight="1" x14ac:dyDescent="0.2">
      <c r="J951" s="6"/>
    </row>
    <row r="952" spans="10:10" ht="15.75" customHeight="1" x14ac:dyDescent="0.2">
      <c r="J952" s="6"/>
    </row>
    <row r="953" spans="10:10" ht="15.75" customHeight="1" x14ac:dyDescent="0.2">
      <c r="J953" s="6"/>
    </row>
    <row r="954" spans="10:10" ht="15.75" customHeight="1" x14ac:dyDescent="0.2">
      <c r="J954" s="6"/>
    </row>
    <row r="955" spans="10:10" ht="15.75" customHeight="1" x14ac:dyDescent="0.2">
      <c r="J955" s="6"/>
    </row>
    <row r="956" spans="10:10" ht="15.75" customHeight="1" x14ac:dyDescent="0.2">
      <c r="J956" s="6"/>
    </row>
    <row r="957" spans="10:10" ht="15.75" customHeight="1" x14ac:dyDescent="0.2">
      <c r="J957" s="6"/>
    </row>
    <row r="958" spans="10:10" ht="15.75" customHeight="1" x14ac:dyDescent="0.2">
      <c r="J958" s="6"/>
    </row>
    <row r="959" spans="10:10" ht="15.75" customHeight="1" x14ac:dyDescent="0.2">
      <c r="J959" s="6"/>
    </row>
    <row r="960" spans="10:10" ht="15.75" customHeight="1" x14ac:dyDescent="0.2">
      <c r="J960" s="6"/>
    </row>
    <row r="961" spans="10:10" ht="15.75" customHeight="1" x14ac:dyDescent="0.2">
      <c r="J961" s="6"/>
    </row>
    <row r="962" spans="10:10" ht="15.75" customHeight="1" x14ac:dyDescent="0.2">
      <c r="J962" s="6"/>
    </row>
    <row r="963" spans="10:10" ht="15.75" customHeight="1" x14ac:dyDescent="0.2">
      <c r="J963" s="6"/>
    </row>
    <row r="964" spans="10:10" ht="15.75" customHeight="1" x14ac:dyDescent="0.2">
      <c r="J964" s="6"/>
    </row>
    <row r="965" spans="10:10" ht="15.75" customHeight="1" x14ac:dyDescent="0.2">
      <c r="J965" s="6"/>
    </row>
    <row r="966" spans="10:10" ht="15.75" customHeight="1" x14ac:dyDescent="0.2">
      <c r="J966" s="6"/>
    </row>
    <row r="967" spans="10:10" ht="15.75" customHeight="1" x14ac:dyDescent="0.2">
      <c r="J967" s="6"/>
    </row>
    <row r="968" spans="10:10" ht="15.75" customHeight="1" x14ac:dyDescent="0.2">
      <c r="J968" s="6"/>
    </row>
    <row r="969" spans="10:10" ht="15.75" customHeight="1" x14ac:dyDescent="0.2">
      <c r="J969" s="6"/>
    </row>
    <row r="970" spans="10:10" ht="15.75" customHeight="1" x14ac:dyDescent="0.2">
      <c r="J970" s="6"/>
    </row>
    <row r="971" spans="10:10" ht="15.75" customHeight="1" x14ac:dyDescent="0.2">
      <c r="J971" s="6"/>
    </row>
    <row r="972" spans="10:10" ht="15.75" customHeight="1" x14ac:dyDescent="0.2">
      <c r="J972" s="6"/>
    </row>
    <row r="973" spans="10:10" ht="15.75" customHeight="1" x14ac:dyDescent="0.2">
      <c r="J973" s="6"/>
    </row>
    <row r="974" spans="10:10" ht="15.75" customHeight="1" x14ac:dyDescent="0.2">
      <c r="J974" s="6"/>
    </row>
    <row r="975" spans="10:10" ht="15.75" customHeight="1" x14ac:dyDescent="0.2">
      <c r="J975" s="6"/>
    </row>
    <row r="976" spans="10:10" ht="15.75" customHeight="1" x14ac:dyDescent="0.2">
      <c r="J976" s="6"/>
    </row>
    <row r="977" spans="10:10" ht="15.75" customHeight="1" x14ac:dyDescent="0.2">
      <c r="J977" s="6"/>
    </row>
    <row r="978" spans="10:10" ht="15.75" customHeight="1" x14ac:dyDescent="0.2">
      <c r="J978" s="6"/>
    </row>
    <row r="979" spans="10:10" ht="15.75" customHeight="1" x14ac:dyDescent="0.2">
      <c r="J979" s="6"/>
    </row>
    <row r="980" spans="10:10" ht="15.75" customHeight="1" x14ac:dyDescent="0.2">
      <c r="J980" s="6"/>
    </row>
    <row r="981" spans="10:10" ht="15.75" customHeight="1" x14ac:dyDescent="0.2">
      <c r="J981" s="6"/>
    </row>
    <row r="982" spans="10:10" ht="15.75" customHeight="1" x14ac:dyDescent="0.2">
      <c r="J982" s="6"/>
    </row>
    <row r="983" spans="10:10" ht="15.75" customHeight="1" x14ac:dyDescent="0.2">
      <c r="J983" s="6"/>
    </row>
    <row r="984" spans="10:10" ht="15.75" customHeight="1" x14ac:dyDescent="0.2">
      <c r="J984" s="6"/>
    </row>
    <row r="985" spans="10:10" ht="15.75" customHeight="1" x14ac:dyDescent="0.2">
      <c r="J985" s="6"/>
    </row>
    <row r="986" spans="10:10" ht="15.75" customHeight="1" x14ac:dyDescent="0.2">
      <c r="J986" s="6"/>
    </row>
    <row r="987" spans="10:10" ht="15.75" customHeight="1" x14ac:dyDescent="0.2">
      <c r="J987" s="6"/>
    </row>
    <row r="988" spans="10:10" ht="15.75" customHeight="1" x14ac:dyDescent="0.2">
      <c r="J988" s="6"/>
    </row>
    <row r="989" spans="10:10" ht="15.75" customHeight="1" x14ac:dyDescent="0.2">
      <c r="J989" s="6"/>
    </row>
    <row r="990" spans="10:10" ht="15.75" customHeight="1" x14ac:dyDescent="0.2">
      <c r="J990" s="6"/>
    </row>
    <row r="991" spans="10:10" ht="15.75" customHeight="1" x14ac:dyDescent="0.2">
      <c r="J991" s="6"/>
    </row>
    <row r="992" spans="10:10" ht="15.75" customHeight="1" x14ac:dyDescent="0.2">
      <c r="J992" s="6"/>
    </row>
    <row r="993" spans="10:10" ht="15.75" customHeight="1" x14ac:dyDescent="0.2">
      <c r="J993" s="6"/>
    </row>
    <row r="994" spans="10:10" ht="15.75" customHeight="1" x14ac:dyDescent="0.2">
      <c r="J994" s="6"/>
    </row>
    <row r="995" spans="10:10" ht="15.75" customHeight="1" x14ac:dyDescent="0.2">
      <c r="J995" s="6"/>
    </row>
    <row r="996" spans="10:10" ht="15.75" customHeight="1" x14ac:dyDescent="0.2">
      <c r="J996" s="6"/>
    </row>
    <row r="997" spans="10:10" ht="15.75" customHeight="1" x14ac:dyDescent="0.2">
      <c r="J997" s="6"/>
    </row>
    <row r="998" spans="10:10" ht="15.75" customHeight="1" x14ac:dyDescent="0.2">
      <c r="J998" s="6"/>
    </row>
    <row r="999" spans="10:10" ht="15.75" customHeight="1" x14ac:dyDescent="0.2">
      <c r="J999" s="6"/>
    </row>
    <row r="1000" spans="10:10" ht="15.75" customHeight="1" x14ac:dyDescent="0.2">
      <c r="J1000" s="6"/>
    </row>
    <row r="1001" spans="10:10" ht="15.75" customHeight="1" x14ac:dyDescent="0.2">
      <c r="J1001" s="6"/>
    </row>
    <row r="1002" spans="10:10" ht="15.75" customHeight="1" x14ac:dyDescent="0.2">
      <c r="J1002" s="6"/>
    </row>
    <row r="1003" spans="10:10" ht="15.75" customHeight="1" x14ac:dyDescent="0.2">
      <c r="J1003" s="6"/>
    </row>
    <row r="1004" spans="10:10" ht="15.75" customHeight="1" x14ac:dyDescent="0.2">
      <c r="J1004" s="6"/>
    </row>
    <row r="1005" spans="10:10" ht="15.75" customHeight="1" x14ac:dyDescent="0.2">
      <c r="J1005" s="6"/>
    </row>
    <row r="1006" spans="10:10" ht="15.75" customHeight="1" x14ac:dyDescent="0.2">
      <c r="J1006" s="6"/>
    </row>
    <row r="1007" spans="10:10" ht="15.75" customHeight="1" x14ac:dyDescent="0.2">
      <c r="J1007" s="6"/>
    </row>
    <row r="1008" spans="10:10" ht="15.75" customHeight="1" x14ac:dyDescent="0.2">
      <c r="J1008" s="6"/>
    </row>
    <row r="1009" spans="10:10" ht="15.75" customHeight="1" x14ac:dyDescent="0.2">
      <c r="J1009" s="6"/>
    </row>
    <row r="1010" spans="10:10" ht="15.75" customHeight="1" x14ac:dyDescent="0.2">
      <c r="J1010" s="6"/>
    </row>
    <row r="1011" spans="10:10" ht="15.75" customHeight="1" x14ac:dyDescent="0.2">
      <c r="J1011" s="6"/>
    </row>
    <row r="1012" spans="10:10" ht="15.75" customHeight="1" x14ac:dyDescent="0.2">
      <c r="J1012" s="6"/>
    </row>
    <row r="1013" spans="10:10" ht="15.75" customHeight="1" x14ac:dyDescent="0.2">
      <c r="J1013" s="6"/>
    </row>
    <row r="1014" spans="10:10" ht="15.75" customHeight="1" x14ac:dyDescent="0.2">
      <c r="J1014" s="6"/>
    </row>
    <row r="1015" spans="10:10" ht="15.75" customHeight="1" x14ac:dyDescent="0.2">
      <c r="J1015" s="6"/>
    </row>
    <row r="1016" spans="10:10" ht="15.75" customHeight="1" x14ac:dyDescent="0.2">
      <c r="J1016" s="6"/>
    </row>
    <row r="1017" spans="10:10" ht="15.75" customHeight="1" x14ac:dyDescent="0.2">
      <c r="J1017" s="6"/>
    </row>
    <row r="1018" spans="10:10" ht="15.75" customHeight="1" x14ac:dyDescent="0.2">
      <c r="J1018" s="6"/>
    </row>
    <row r="1019" spans="10:10" ht="15.75" customHeight="1" x14ac:dyDescent="0.2">
      <c r="J1019" s="6"/>
    </row>
    <row r="1020" spans="10:10" ht="15.75" customHeight="1" x14ac:dyDescent="0.2">
      <c r="J1020" s="6"/>
    </row>
    <row r="1021" spans="10:10" ht="15.75" customHeight="1" x14ac:dyDescent="0.2">
      <c r="J1021" s="6"/>
    </row>
    <row r="1022" spans="10:10" ht="15.75" customHeight="1" x14ac:dyDescent="0.2">
      <c r="J1022" s="6"/>
    </row>
    <row r="1023" spans="10:10" ht="15.75" customHeight="1" x14ac:dyDescent="0.2">
      <c r="J1023" s="6"/>
    </row>
    <row r="1024" spans="10:10" ht="15.75" customHeight="1" x14ac:dyDescent="0.2">
      <c r="J1024" s="6"/>
    </row>
    <row r="1025" spans="10:10" ht="15.75" customHeight="1" x14ac:dyDescent="0.2">
      <c r="J1025" s="6"/>
    </row>
    <row r="1026" spans="10:10" ht="15.75" customHeight="1" x14ac:dyDescent="0.2">
      <c r="J1026" s="6"/>
    </row>
    <row r="1027" spans="10:10" ht="15.75" customHeight="1" x14ac:dyDescent="0.2">
      <c r="J1027" s="6"/>
    </row>
    <row r="1028" spans="10:10" ht="15.75" customHeight="1" x14ac:dyDescent="0.2">
      <c r="J1028" s="6"/>
    </row>
    <row r="1029" spans="10:10" ht="15.75" customHeight="1" x14ac:dyDescent="0.2">
      <c r="J1029" s="6"/>
    </row>
    <row r="1030" spans="10:10" ht="15.75" customHeight="1" x14ac:dyDescent="0.2">
      <c r="J1030" s="6"/>
    </row>
    <row r="1031" spans="10:10" ht="15.75" customHeight="1" x14ac:dyDescent="0.2">
      <c r="J1031" s="6"/>
    </row>
    <row r="1032" spans="10:10" ht="15.75" customHeight="1" x14ac:dyDescent="0.2">
      <c r="J1032" s="6"/>
    </row>
    <row r="1033" spans="10:10" ht="15.75" customHeight="1" x14ac:dyDescent="0.2">
      <c r="J1033" s="6"/>
    </row>
    <row r="1034" spans="10:10" ht="15.75" customHeight="1" x14ac:dyDescent="0.2">
      <c r="J1034" s="6"/>
    </row>
    <row r="1035" spans="10:10" ht="15.75" customHeight="1" x14ac:dyDescent="0.2">
      <c r="J1035" s="6"/>
    </row>
    <row r="1036" spans="10:10" ht="15.75" customHeight="1" x14ac:dyDescent="0.2">
      <c r="J1036" s="6"/>
    </row>
    <row r="1037" spans="10:10" ht="15.75" customHeight="1" x14ac:dyDescent="0.2">
      <c r="J1037" s="6"/>
    </row>
    <row r="1038" spans="10:10" ht="15.75" customHeight="1" x14ac:dyDescent="0.2">
      <c r="J1038" s="6"/>
    </row>
    <row r="1039" spans="10:10" ht="15.75" customHeight="1" x14ac:dyDescent="0.2">
      <c r="J1039" s="6"/>
    </row>
    <row r="1040" spans="10:10" ht="15.75" customHeight="1" x14ac:dyDescent="0.2">
      <c r="J1040" s="6"/>
    </row>
    <row r="1041" spans="10:10" ht="15.75" customHeight="1" x14ac:dyDescent="0.2">
      <c r="J1041" s="6"/>
    </row>
    <row r="1042" spans="10:10" ht="15.75" customHeight="1" x14ac:dyDescent="0.2">
      <c r="J1042" s="6"/>
    </row>
    <row r="1043" spans="10:10" ht="15.75" customHeight="1" x14ac:dyDescent="0.2">
      <c r="J1043" s="6"/>
    </row>
    <row r="1044" spans="10:10" ht="15.75" customHeight="1" x14ac:dyDescent="0.2">
      <c r="J1044" s="6"/>
    </row>
    <row r="1045" spans="10:10" ht="15.75" customHeight="1" x14ac:dyDescent="0.2">
      <c r="J1045" s="6"/>
    </row>
    <row r="1046" spans="10:10" ht="15.75" customHeight="1" x14ac:dyDescent="0.2">
      <c r="J1046" s="6"/>
    </row>
    <row r="1047" spans="10:10" ht="15.75" customHeight="1" x14ac:dyDescent="0.2">
      <c r="J1047" s="6"/>
    </row>
    <row r="1048" spans="10:10" ht="15.75" customHeight="1" x14ac:dyDescent="0.2">
      <c r="J1048" s="6"/>
    </row>
    <row r="1049" spans="10:10" ht="15.75" customHeight="1" x14ac:dyDescent="0.2">
      <c r="J1049" s="6"/>
    </row>
    <row r="1050" spans="10:10" ht="15.75" customHeight="1" x14ac:dyDescent="0.2">
      <c r="J1050" s="6"/>
    </row>
    <row r="1051" spans="10:10" ht="15.75" customHeight="1" x14ac:dyDescent="0.2">
      <c r="J1051" s="6"/>
    </row>
    <row r="1052" spans="10:10" ht="15.75" customHeight="1" x14ac:dyDescent="0.2">
      <c r="J1052" s="6"/>
    </row>
    <row r="1053" spans="10:10" ht="15.75" customHeight="1" x14ac:dyDescent="0.2">
      <c r="J1053" s="6"/>
    </row>
    <row r="1054" spans="10:10" ht="15.75" customHeight="1" x14ac:dyDescent="0.2">
      <c r="J1054" s="6"/>
    </row>
  </sheetData>
  <pageMargins left="0.7" right="0.7" top="0.75" bottom="0.75" header="0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A395-7ADF-CA47-A3E3-6446E252DFD0}">
  <sheetPr>
    <tabColor theme="9"/>
  </sheetPr>
  <dimension ref="A1:N1054"/>
  <sheetViews>
    <sheetView showGridLines="0" zoomScale="90" zoomScaleNormal="90" workbookViewId="0">
      <pane xSplit="2" ySplit="1" topLeftCell="C114" activePane="bottomRight" state="frozen"/>
      <selection pane="topRight" activeCell="C1" sqref="C1"/>
      <selection pane="bottomLeft" activeCell="A3" sqref="A3"/>
      <selection pane="bottomRight" activeCell="M124" sqref="M124"/>
    </sheetView>
  </sheetViews>
  <sheetFormatPr baseColWidth="10" defaultColWidth="14.42578125" defaultRowHeight="15" customHeight="1" outlineLevelRow="1" x14ac:dyDescent="0.2"/>
  <cols>
    <col min="1" max="1" width="5" style="6" customWidth="1"/>
    <col min="2" max="2" width="24.28515625" style="6" customWidth="1"/>
    <col min="3" max="3" width="15.28515625" style="6" customWidth="1"/>
    <col min="4" max="7" width="14.28515625" style="6" customWidth="1"/>
    <col min="8" max="8" width="15.28515625" style="6" customWidth="1"/>
    <col min="9" max="9" width="14.42578125" style="6" customWidth="1"/>
    <col min="10" max="10" width="13.42578125" style="97" customWidth="1"/>
    <col min="11" max="11" width="15.42578125" style="6" customWidth="1"/>
    <col min="12" max="16384" width="14.42578125" style="6"/>
  </cols>
  <sheetData>
    <row r="1" spans="1:11" x14ac:dyDescent="0.25">
      <c r="I1" s="65"/>
      <c r="J1" s="95"/>
      <c r="K1" s="46"/>
    </row>
    <row r="2" spans="1:11" x14ac:dyDescent="0.25">
      <c r="I2" s="65"/>
      <c r="J2" s="95"/>
      <c r="K2" s="46"/>
    </row>
    <row r="3" spans="1:11" x14ac:dyDescent="0.25">
      <c r="A3" s="14"/>
      <c r="B3" s="21"/>
      <c r="C3" s="20"/>
      <c r="D3" s="20" t="s">
        <v>33</v>
      </c>
      <c r="E3" s="20" t="s">
        <v>32</v>
      </c>
      <c r="F3" s="20" t="s">
        <v>31</v>
      </c>
      <c r="G3" s="20" t="s">
        <v>30</v>
      </c>
      <c r="H3" s="20" t="s">
        <v>29</v>
      </c>
      <c r="I3" s="20" t="s">
        <v>35</v>
      </c>
      <c r="J3" s="96"/>
      <c r="K3" s="14"/>
    </row>
    <row r="4" spans="1:11" x14ac:dyDescent="0.25">
      <c r="A4" s="14"/>
      <c r="B4" s="28" t="s">
        <v>128</v>
      </c>
      <c r="C4" s="4">
        <v>27600</v>
      </c>
      <c r="D4" s="23"/>
      <c r="E4" s="23"/>
      <c r="F4" s="23"/>
      <c r="G4" s="23"/>
      <c r="H4" s="23"/>
      <c r="I4" s="15"/>
      <c r="J4" s="30"/>
      <c r="K4" s="14"/>
    </row>
    <row r="5" spans="1:11" x14ac:dyDescent="0.25">
      <c r="A5" s="14"/>
      <c r="B5" s="28" t="s">
        <v>46</v>
      </c>
      <c r="D5" s="44">
        <v>2000</v>
      </c>
      <c r="E5" s="44">
        <v>4000</v>
      </c>
      <c r="F5" s="44">
        <v>5000</v>
      </c>
      <c r="G5" s="44">
        <v>6900</v>
      </c>
      <c r="H5" s="44">
        <f>+C4-(D5+E5+F5+G5)</f>
        <v>9700</v>
      </c>
      <c r="I5" s="44">
        <f>SUM(D5:H5)</f>
        <v>27600</v>
      </c>
      <c r="J5" s="30"/>
      <c r="K5" s="14"/>
    </row>
    <row r="6" spans="1:11" x14ac:dyDescent="0.25">
      <c r="A6" s="14"/>
      <c r="B6" s="28" t="s">
        <v>68</v>
      </c>
      <c r="E6" s="47">
        <f>+E5/D5-1</f>
        <v>1</v>
      </c>
      <c r="F6" s="47">
        <f>+F5/E5-1</f>
        <v>0.25</v>
      </c>
      <c r="G6" s="47">
        <f>+G5/F5-1</f>
        <v>0.37999999999999989</v>
      </c>
      <c r="H6" s="47">
        <f>+H5/G5-1</f>
        <v>0.40579710144927539</v>
      </c>
      <c r="I6" s="15"/>
      <c r="J6" s="30"/>
      <c r="K6" s="27"/>
    </row>
    <row r="7" spans="1:11" x14ac:dyDescent="0.25">
      <c r="A7" s="14"/>
      <c r="B7" s="28" t="s">
        <v>69</v>
      </c>
      <c r="C7" s="50"/>
      <c r="D7" s="52">
        <f>+D5/(12*4*5)</f>
        <v>8.3333333333333339</v>
      </c>
      <c r="E7" s="52">
        <f>+E5/(12*4*5)</f>
        <v>16.666666666666668</v>
      </c>
      <c r="F7" s="52">
        <f>+F5/(12*4*5)</f>
        <v>20.833333333333332</v>
      </c>
      <c r="G7" s="52">
        <f>+G5/(12*4*5)</f>
        <v>28.75</v>
      </c>
      <c r="H7" s="52">
        <f>+H5/(12*4*5)</f>
        <v>40.416666666666664</v>
      </c>
      <c r="I7" s="15"/>
      <c r="J7" s="30"/>
      <c r="K7" s="27"/>
    </row>
    <row r="8" spans="1:11" x14ac:dyDescent="0.25">
      <c r="A8" s="14"/>
      <c r="B8" s="28"/>
      <c r="C8" s="15"/>
      <c r="D8" s="44"/>
      <c r="E8" s="44"/>
      <c r="F8" s="44"/>
      <c r="G8" s="44"/>
      <c r="H8" s="44"/>
      <c r="I8" s="15"/>
      <c r="J8" s="30"/>
      <c r="K8" s="27"/>
    </row>
    <row r="9" spans="1:11" x14ac:dyDescent="0.25">
      <c r="A9" s="14"/>
      <c r="B9" s="28" t="s">
        <v>70</v>
      </c>
      <c r="C9" s="15"/>
      <c r="D9" s="44"/>
      <c r="E9" s="44"/>
      <c r="F9" s="44"/>
      <c r="G9" s="44"/>
      <c r="H9" s="44"/>
      <c r="I9" s="28"/>
      <c r="J9" s="30"/>
      <c r="K9" s="27"/>
    </row>
    <row r="10" spans="1:11" x14ac:dyDescent="0.25">
      <c r="A10" s="14"/>
      <c r="B10" s="28" t="s">
        <v>3</v>
      </c>
      <c r="C10" s="57">
        <f>Inputs!C16</f>
        <v>27.03125</v>
      </c>
      <c r="D10" s="57">
        <f>C10</f>
        <v>27.03125</v>
      </c>
      <c r="E10" s="57">
        <f t="shared" ref="E10:H11" si="0">D10</f>
        <v>27.03125</v>
      </c>
      <c r="F10" s="57">
        <f t="shared" si="0"/>
        <v>27.03125</v>
      </c>
      <c r="G10" s="57">
        <f t="shared" si="0"/>
        <v>27.03125</v>
      </c>
      <c r="H10" s="57">
        <f t="shared" si="0"/>
        <v>27.03125</v>
      </c>
      <c r="I10" s="28"/>
      <c r="J10" s="30"/>
      <c r="K10" s="27"/>
    </row>
    <row r="11" spans="1:11" x14ac:dyDescent="0.25">
      <c r="A11" s="14"/>
      <c r="B11" s="28" t="s">
        <v>2</v>
      </c>
      <c r="C11" s="57">
        <f>Inputs!D16</f>
        <v>30.437500000000004</v>
      </c>
      <c r="D11" s="57">
        <f>C11</f>
        <v>30.437500000000004</v>
      </c>
      <c r="E11" s="57">
        <f t="shared" si="0"/>
        <v>30.437500000000004</v>
      </c>
      <c r="F11" s="57">
        <f t="shared" si="0"/>
        <v>30.437500000000004</v>
      </c>
      <c r="G11" s="57">
        <f t="shared" si="0"/>
        <v>30.437500000000004</v>
      </c>
      <c r="H11" s="57">
        <f t="shared" si="0"/>
        <v>30.437500000000004</v>
      </c>
      <c r="I11" s="28"/>
      <c r="J11" s="30"/>
      <c r="K11" s="27"/>
    </row>
    <row r="12" spans="1:11" x14ac:dyDescent="0.25">
      <c r="A12" s="14"/>
      <c r="B12" s="28"/>
      <c r="C12" s="15"/>
      <c r="D12" s="44"/>
      <c r="E12" s="44"/>
      <c r="F12" s="44"/>
      <c r="G12" s="44"/>
      <c r="H12" s="44"/>
      <c r="I12" s="28"/>
      <c r="J12" s="30"/>
      <c r="K12" s="27"/>
    </row>
    <row r="13" spans="1:11" x14ac:dyDescent="0.25">
      <c r="A13" s="14"/>
      <c r="B13" s="28" t="s">
        <v>47</v>
      </c>
      <c r="C13" s="15"/>
      <c r="D13" s="44"/>
      <c r="E13" s="44"/>
      <c r="F13" s="44"/>
      <c r="G13" s="44"/>
      <c r="H13" s="44"/>
      <c r="I13" s="28"/>
      <c r="J13" s="30"/>
      <c r="K13" s="27"/>
    </row>
    <row r="14" spans="1:11" x14ac:dyDescent="0.25">
      <c r="A14" s="14"/>
      <c r="B14" s="28" t="s">
        <v>3</v>
      </c>
      <c r="C14" s="50">
        <f>Inputs!C19</f>
        <v>109.00000000000001</v>
      </c>
      <c r="D14" s="52">
        <f>C14</f>
        <v>109.00000000000001</v>
      </c>
      <c r="E14" s="52">
        <f t="shared" ref="E14:H15" si="1">D14</f>
        <v>109.00000000000001</v>
      </c>
      <c r="F14" s="52">
        <f t="shared" si="1"/>
        <v>109.00000000000001</v>
      </c>
      <c r="G14" s="52">
        <f t="shared" si="1"/>
        <v>109.00000000000001</v>
      </c>
      <c r="H14" s="52">
        <f t="shared" si="1"/>
        <v>109.00000000000001</v>
      </c>
      <c r="I14" s="28"/>
      <c r="K14" s="27"/>
    </row>
    <row r="15" spans="1:11" x14ac:dyDescent="0.25">
      <c r="A15" s="14"/>
      <c r="B15" s="28" t="s">
        <v>2</v>
      </c>
      <c r="C15" s="50">
        <f>180*1.09</f>
        <v>196.20000000000002</v>
      </c>
      <c r="D15" s="52">
        <f>C15</f>
        <v>196.20000000000002</v>
      </c>
      <c r="E15" s="52">
        <f t="shared" si="1"/>
        <v>196.20000000000002</v>
      </c>
      <c r="F15" s="52">
        <f t="shared" si="1"/>
        <v>196.20000000000002</v>
      </c>
      <c r="G15" s="52">
        <f t="shared" si="1"/>
        <v>196.20000000000002</v>
      </c>
      <c r="H15" s="52">
        <f t="shared" si="1"/>
        <v>196.20000000000002</v>
      </c>
      <c r="I15" s="28"/>
      <c r="J15" s="30"/>
      <c r="K15" s="27"/>
    </row>
    <row r="16" spans="1:11" x14ac:dyDescent="0.25">
      <c r="A16" s="14"/>
      <c r="B16" s="28"/>
      <c r="C16" s="15"/>
      <c r="D16" s="44"/>
      <c r="E16" s="44"/>
      <c r="F16" s="44"/>
      <c r="G16" s="44"/>
      <c r="H16" s="44"/>
      <c r="I16" s="28"/>
      <c r="J16" s="30"/>
      <c r="K16" s="27"/>
    </row>
    <row r="17" spans="1:11" x14ac:dyDescent="0.25">
      <c r="A17" s="14"/>
      <c r="B17" s="45" t="s">
        <v>45</v>
      </c>
      <c r="C17" s="15"/>
      <c r="D17" s="44"/>
      <c r="E17" s="44"/>
      <c r="F17" s="44"/>
      <c r="G17" s="44"/>
      <c r="H17" s="44"/>
      <c r="I17" s="28"/>
      <c r="J17" s="30"/>
      <c r="K17" s="27"/>
    </row>
    <row r="18" spans="1:11" x14ac:dyDescent="0.25">
      <c r="A18" s="14"/>
      <c r="B18" s="28" t="s">
        <v>3</v>
      </c>
      <c r="C18" s="51">
        <f>Inputs!C21</f>
        <v>0.75200688073394495</v>
      </c>
      <c r="D18" s="53">
        <f>C18</f>
        <v>0.75200688073394495</v>
      </c>
      <c r="E18" s="53">
        <f t="shared" ref="E18:H19" si="2">D18</f>
        <v>0.75200688073394495</v>
      </c>
      <c r="F18" s="53">
        <f t="shared" si="2"/>
        <v>0.75200688073394495</v>
      </c>
      <c r="G18" s="53">
        <f t="shared" si="2"/>
        <v>0.75200688073394495</v>
      </c>
      <c r="H18" s="53">
        <f t="shared" si="2"/>
        <v>0.75200688073394495</v>
      </c>
      <c r="I18" s="28"/>
      <c r="J18" s="30"/>
      <c r="K18" s="27"/>
    </row>
    <row r="19" spans="1:11" x14ac:dyDescent="0.25">
      <c r="A19" s="14"/>
      <c r="B19" s="28" t="s">
        <v>2</v>
      </c>
      <c r="C19" s="51">
        <f>Inputs!D21</f>
        <v>0.84486493374108051</v>
      </c>
      <c r="D19" s="53">
        <f>C19</f>
        <v>0.84486493374108051</v>
      </c>
      <c r="E19" s="53">
        <f t="shared" si="2"/>
        <v>0.84486493374108051</v>
      </c>
      <c r="F19" s="53">
        <f t="shared" si="2"/>
        <v>0.84486493374108051</v>
      </c>
      <c r="G19" s="53">
        <f t="shared" si="2"/>
        <v>0.84486493374108051</v>
      </c>
      <c r="H19" s="53">
        <f t="shared" si="2"/>
        <v>0.84486493374108051</v>
      </c>
      <c r="I19" s="28"/>
      <c r="J19" s="30"/>
      <c r="K19" s="27"/>
    </row>
    <row r="20" spans="1:11" x14ac:dyDescent="0.25">
      <c r="A20" s="14"/>
      <c r="B20" s="28"/>
      <c r="C20" s="15"/>
      <c r="D20" s="44"/>
      <c r="E20" s="44"/>
      <c r="F20" s="44"/>
      <c r="G20" s="44"/>
      <c r="H20" s="44"/>
      <c r="I20" s="28"/>
      <c r="J20" s="30" t="s">
        <v>72</v>
      </c>
      <c r="K20" s="27"/>
    </row>
    <row r="21" spans="1:11" x14ac:dyDescent="0.25">
      <c r="A21" s="14"/>
      <c r="B21" s="28" t="s">
        <v>73</v>
      </c>
      <c r="C21" s="62"/>
      <c r="D21" s="62">
        <v>0.3</v>
      </c>
      <c r="E21" s="62">
        <v>0.4</v>
      </c>
      <c r="F21" s="62">
        <v>0.5</v>
      </c>
      <c r="G21" s="62">
        <v>0.55000000000000004</v>
      </c>
      <c r="H21" s="62">
        <v>0.6</v>
      </c>
      <c r="I21" s="28"/>
      <c r="J21" s="30" t="s">
        <v>71</v>
      </c>
      <c r="K21" s="27"/>
    </row>
    <row r="22" spans="1:11" x14ac:dyDescent="0.25">
      <c r="A22" s="14"/>
      <c r="B22" s="28" t="s">
        <v>130</v>
      </c>
      <c r="C22" s="63"/>
      <c r="D22" s="64">
        <v>0.15</v>
      </c>
      <c r="E22" s="64">
        <f t="shared" ref="E22:H23" si="3">D22</f>
        <v>0.15</v>
      </c>
      <c r="F22" s="64">
        <f t="shared" si="3"/>
        <v>0.15</v>
      </c>
      <c r="G22" s="64">
        <f t="shared" si="3"/>
        <v>0.15</v>
      </c>
      <c r="H22" s="64">
        <f t="shared" si="3"/>
        <v>0.15</v>
      </c>
      <c r="I22" s="28"/>
      <c r="J22" s="30"/>
      <c r="K22" s="27"/>
    </row>
    <row r="23" spans="1:11" x14ac:dyDescent="0.25">
      <c r="A23" s="14"/>
      <c r="B23" s="28" t="s">
        <v>74</v>
      </c>
      <c r="C23" s="63"/>
      <c r="D23" s="64">
        <v>0.15</v>
      </c>
      <c r="E23" s="64">
        <f t="shared" si="3"/>
        <v>0.15</v>
      </c>
      <c r="F23" s="64">
        <f t="shared" si="3"/>
        <v>0.15</v>
      </c>
      <c r="G23" s="64">
        <f t="shared" si="3"/>
        <v>0.15</v>
      </c>
      <c r="H23" s="64">
        <f t="shared" si="3"/>
        <v>0.15</v>
      </c>
      <c r="I23" s="28"/>
      <c r="J23" s="30"/>
      <c r="K23" s="27"/>
    </row>
    <row r="24" spans="1:1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30"/>
      <c r="K24" s="14"/>
    </row>
    <row r="25" spans="1:11" x14ac:dyDescent="0.25">
      <c r="A25" s="14"/>
      <c r="B25" s="21"/>
      <c r="C25" s="20" t="s">
        <v>44</v>
      </c>
      <c r="D25" s="20" t="s">
        <v>33</v>
      </c>
      <c r="E25" s="20" t="s">
        <v>32</v>
      </c>
      <c r="F25" s="20" t="s">
        <v>31</v>
      </c>
      <c r="G25" s="20" t="s">
        <v>30</v>
      </c>
      <c r="H25" s="20" t="s">
        <v>29</v>
      </c>
      <c r="I25" s="20" t="s">
        <v>138</v>
      </c>
      <c r="J25" s="30"/>
      <c r="K25" s="14"/>
    </row>
    <row r="26" spans="1:11" x14ac:dyDescent="0.25">
      <c r="A26" s="14"/>
      <c r="B26" s="15"/>
      <c r="C26" s="23"/>
      <c r="D26" s="34"/>
      <c r="E26" s="34"/>
      <c r="F26" s="34"/>
      <c r="G26" s="34"/>
      <c r="H26" s="34"/>
      <c r="I26" s="34"/>
      <c r="J26" s="30"/>
      <c r="K26" s="14"/>
    </row>
    <row r="27" spans="1:11" x14ac:dyDescent="0.25">
      <c r="A27" s="15"/>
      <c r="B27" s="21" t="s">
        <v>43</v>
      </c>
      <c r="C27" s="20"/>
      <c r="D27" s="39">
        <f>+D28+D31</f>
        <v>313702</v>
      </c>
      <c r="E27" s="39">
        <f t="shared" ref="E27:H27" si="4">+E28+E31</f>
        <v>633072</v>
      </c>
      <c r="F27" s="39">
        <f t="shared" si="4"/>
        <v>798425</v>
      </c>
      <c r="G27" s="39">
        <f t="shared" si="4"/>
        <v>1106715.1500000001</v>
      </c>
      <c r="H27" s="39">
        <f t="shared" si="4"/>
        <v>1562689.4000000001</v>
      </c>
      <c r="I27" s="39">
        <f>SUM(D27:H27)</f>
        <v>4414603.5500000007</v>
      </c>
      <c r="J27" s="28"/>
      <c r="K27" s="15"/>
    </row>
    <row r="28" spans="1:11" x14ac:dyDescent="0.25">
      <c r="A28" s="14"/>
      <c r="B28" s="26" t="s">
        <v>53</v>
      </c>
      <c r="C28" s="42"/>
      <c r="D28" s="25">
        <f>SUM(D29:D30)</f>
        <v>126331.00000000001</v>
      </c>
      <c r="E28" s="25">
        <f>SUM(E29:E30)</f>
        <v>264216</v>
      </c>
      <c r="F28" s="25">
        <f t="shared" ref="F28:H28" si="5">SUM(F29:F30)</f>
        <v>344712.5</v>
      </c>
      <c r="G28" s="25">
        <f t="shared" si="5"/>
        <v>485668.57500000007</v>
      </c>
      <c r="H28" s="25">
        <f t="shared" si="5"/>
        <v>696760.70000000007</v>
      </c>
      <c r="I28" s="25">
        <f t="shared" ref="I28:I33" si="6">SUM(D28:H28)</f>
        <v>1917688.7750000004</v>
      </c>
      <c r="J28" s="30"/>
      <c r="K28" s="14"/>
    </row>
    <row r="29" spans="1:11" x14ac:dyDescent="0.25">
      <c r="A29" s="14"/>
      <c r="B29" s="54" t="s">
        <v>55</v>
      </c>
      <c r="C29" s="42"/>
      <c r="D29" s="81">
        <f>D5*0.5*(1-D21)*D14</f>
        <v>76300.000000000015</v>
      </c>
      <c r="E29" s="81">
        <f>E5*0.5*(1-E21)*E14</f>
        <v>130800.00000000001</v>
      </c>
      <c r="F29" s="81">
        <f>F5*0.5*(1-F21)*F14</f>
        <v>136250.00000000003</v>
      </c>
      <c r="G29" s="81">
        <f t="shared" ref="G29:H29" si="7">G5*0.5*(1-G21)*G14</f>
        <v>169222.5</v>
      </c>
      <c r="H29" s="81">
        <f t="shared" si="7"/>
        <v>211460.00000000003</v>
      </c>
      <c r="I29" s="25">
        <f t="shared" si="6"/>
        <v>724032.50000000012</v>
      </c>
      <c r="J29" s="30"/>
      <c r="K29" s="14"/>
    </row>
    <row r="30" spans="1:11" x14ac:dyDescent="0.25">
      <c r="A30" s="14"/>
      <c r="B30" s="54" t="s">
        <v>54</v>
      </c>
      <c r="C30" s="42"/>
      <c r="D30" s="81">
        <f>D5*0.5*D21*(0.85*D15)</f>
        <v>50031</v>
      </c>
      <c r="E30" s="81">
        <f>E5*0.5*E21*(0.85*E15)</f>
        <v>133416</v>
      </c>
      <c r="F30" s="81">
        <f t="shared" ref="F30:H30" si="8">F5*0.5*F21*(0.85*F15)</f>
        <v>208462.5</v>
      </c>
      <c r="G30" s="81">
        <f t="shared" si="8"/>
        <v>316446.07500000007</v>
      </c>
      <c r="H30" s="81">
        <f t="shared" si="8"/>
        <v>485300.7</v>
      </c>
      <c r="I30" s="25">
        <f t="shared" si="6"/>
        <v>1193656.2750000001</v>
      </c>
      <c r="J30" s="30"/>
      <c r="K30" s="14"/>
    </row>
    <row r="31" spans="1:11" x14ac:dyDescent="0.25">
      <c r="A31" s="14"/>
      <c r="B31" s="26" t="s">
        <v>2</v>
      </c>
      <c r="C31" s="42"/>
      <c r="D31" s="25">
        <f>SUM(D32:D33)</f>
        <v>187371</v>
      </c>
      <c r="E31" s="25">
        <f t="shared" ref="E31:H31" si="9">SUM(E32:E33)</f>
        <v>368856</v>
      </c>
      <c r="F31" s="25">
        <f t="shared" si="9"/>
        <v>453712.5</v>
      </c>
      <c r="G31" s="25">
        <f t="shared" si="9"/>
        <v>621046.57500000007</v>
      </c>
      <c r="H31" s="25">
        <f t="shared" si="9"/>
        <v>865928.70000000007</v>
      </c>
      <c r="I31" s="25">
        <f t="shared" si="6"/>
        <v>2496914.7750000004</v>
      </c>
      <c r="J31" s="30"/>
      <c r="K31" s="14"/>
    </row>
    <row r="32" spans="1:11" x14ac:dyDescent="0.25">
      <c r="A32" s="14"/>
      <c r="B32" s="54" t="s">
        <v>55</v>
      </c>
      <c r="C32" s="42"/>
      <c r="D32" s="81">
        <f>D5*0.5*(1-D21)*D15</f>
        <v>137340</v>
      </c>
      <c r="E32" s="81">
        <f t="shared" ref="E32:H32" si="10">E5*0.5*(1-E21)*E15</f>
        <v>235440.00000000003</v>
      </c>
      <c r="F32" s="81">
        <f t="shared" si="10"/>
        <v>245250.00000000003</v>
      </c>
      <c r="G32" s="81">
        <f t="shared" si="10"/>
        <v>304600.5</v>
      </c>
      <c r="H32" s="81">
        <f t="shared" si="10"/>
        <v>380628.00000000006</v>
      </c>
      <c r="I32" s="25">
        <f t="shared" si="6"/>
        <v>1303258.5</v>
      </c>
      <c r="J32" s="30"/>
      <c r="K32" s="14"/>
    </row>
    <row r="33" spans="1:14" x14ac:dyDescent="0.25">
      <c r="A33" s="14"/>
      <c r="B33" s="54" t="s">
        <v>54</v>
      </c>
      <c r="C33" s="42"/>
      <c r="D33" s="81">
        <f>D5*0.5*D21*(D15*0.85)</f>
        <v>50031</v>
      </c>
      <c r="E33" s="81">
        <f t="shared" ref="E33:H33" si="11">E5*0.5*E21*(E15*0.85)</f>
        <v>133416</v>
      </c>
      <c r="F33" s="81">
        <f t="shared" si="11"/>
        <v>208462.5</v>
      </c>
      <c r="G33" s="81">
        <f t="shared" si="11"/>
        <v>316446.07500000007</v>
      </c>
      <c r="H33" s="81">
        <f t="shared" si="11"/>
        <v>485300.7</v>
      </c>
      <c r="I33" s="25">
        <f t="shared" si="6"/>
        <v>1193656.2750000001</v>
      </c>
      <c r="J33" s="30"/>
      <c r="K33" s="14"/>
    </row>
    <row r="34" spans="1:14" x14ac:dyDescent="0.25">
      <c r="A34" s="14"/>
      <c r="B34" s="30"/>
      <c r="C34" s="15"/>
      <c r="D34" s="43"/>
      <c r="E34" s="43"/>
      <c r="F34" s="43"/>
      <c r="G34" s="43"/>
      <c r="H34" s="43"/>
      <c r="I34" s="43"/>
      <c r="J34" s="30"/>
      <c r="K34" s="14"/>
    </row>
    <row r="35" spans="1:14" x14ac:dyDescent="0.25">
      <c r="A35" s="15"/>
      <c r="B35" s="21" t="s">
        <v>42</v>
      </c>
      <c r="C35" s="39"/>
      <c r="D35" s="39">
        <f>SUM(D36:D37)</f>
        <v>57468.75</v>
      </c>
      <c r="E35" s="39">
        <f>SUM(E36:E37)</f>
        <v>114937.5</v>
      </c>
      <c r="F35" s="39">
        <f>SUM(F36:F37)</f>
        <v>143671.875</v>
      </c>
      <c r="G35" s="39">
        <f>SUM(G36:G37)</f>
        <v>198267.1875</v>
      </c>
      <c r="H35" s="39">
        <f>SUM(H36:H37)</f>
        <v>278723.4375</v>
      </c>
      <c r="I35" s="39">
        <f>SUM(D35:H35)</f>
        <v>793068.75</v>
      </c>
      <c r="J35" s="28"/>
      <c r="K35" s="15"/>
    </row>
    <row r="36" spans="1:14" x14ac:dyDescent="0.25">
      <c r="A36" s="14"/>
      <c r="B36" s="26" t="s">
        <v>3</v>
      </c>
      <c r="C36" s="24"/>
      <c r="D36" s="81">
        <f>+D$5*0.5*D$10</f>
        <v>27031.25</v>
      </c>
      <c r="E36" s="81">
        <f t="shared" ref="E36:H36" si="12">+E$5*0.5*E$10</f>
        <v>54062.5</v>
      </c>
      <c r="F36" s="81">
        <f t="shared" si="12"/>
        <v>67578.125</v>
      </c>
      <c r="G36" s="81">
        <f t="shared" si="12"/>
        <v>93257.8125</v>
      </c>
      <c r="H36" s="81">
        <f t="shared" si="12"/>
        <v>131101.5625</v>
      </c>
      <c r="I36" s="81">
        <f>SUM(D36:H36)</f>
        <v>373031.25</v>
      </c>
      <c r="J36" s="30"/>
      <c r="K36" s="14"/>
    </row>
    <row r="37" spans="1:14" x14ac:dyDescent="0.25">
      <c r="A37" s="14"/>
      <c r="B37" s="26" t="s">
        <v>2</v>
      </c>
      <c r="C37" s="42"/>
      <c r="D37" s="81">
        <f>+D$5*0.5*D$11</f>
        <v>30437.500000000004</v>
      </c>
      <c r="E37" s="81">
        <f t="shared" ref="E37:H37" si="13">+E$5*0.5*E$11</f>
        <v>60875.000000000007</v>
      </c>
      <c r="F37" s="81">
        <f t="shared" si="13"/>
        <v>76093.750000000015</v>
      </c>
      <c r="G37" s="81">
        <f t="shared" si="13"/>
        <v>105009.37500000001</v>
      </c>
      <c r="H37" s="81">
        <f t="shared" si="13"/>
        <v>147621.87500000003</v>
      </c>
      <c r="I37" s="81">
        <f>SUM(D37:H37)</f>
        <v>420037.50000000012</v>
      </c>
      <c r="J37" s="30"/>
      <c r="K37" s="14"/>
    </row>
    <row r="38" spans="1:14" ht="15.75" customHeight="1" x14ac:dyDescent="0.25">
      <c r="A38" s="14"/>
      <c r="B38" s="30"/>
      <c r="C38" s="15"/>
      <c r="D38" s="41"/>
      <c r="E38" s="41"/>
      <c r="F38" s="41"/>
      <c r="G38" s="41"/>
      <c r="H38" s="41"/>
      <c r="I38" s="29"/>
      <c r="J38" s="30"/>
      <c r="K38" s="14"/>
    </row>
    <row r="39" spans="1:14" ht="15.75" customHeight="1" x14ac:dyDescent="0.25">
      <c r="A39" s="15"/>
      <c r="B39" s="21" t="s">
        <v>41</v>
      </c>
      <c r="C39" s="39"/>
      <c r="D39" s="39">
        <f>D27-D35</f>
        <v>256233.25</v>
      </c>
      <c r="E39" s="39">
        <f>E27-E35</f>
        <v>518134.5</v>
      </c>
      <c r="F39" s="39">
        <f>F27-F35</f>
        <v>654753.125</v>
      </c>
      <c r="G39" s="39">
        <f>G27-G35</f>
        <v>908447.96250000014</v>
      </c>
      <c r="H39" s="39">
        <f>H27-H35</f>
        <v>1283965.9625000001</v>
      </c>
      <c r="I39" s="39">
        <f>SUM(D39:H39)</f>
        <v>3621534.8000000007</v>
      </c>
      <c r="J39" s="28"/>
      <c r="K39" s="15"/>
    </row>
    <row r="40" spans="1:14" s="94" customFormat="1" ht="15.75" customHeight="1" x14ac:dyDescent="0.25">
      <c r="A40" s="77"/>
      <c r="B40" s="92" t="s">
        <v>140</v>
      </c>
      <c r="C40" s="79"/>
      <c r="D40" s="93">
        <f>+(D28-D36)/D28</f>
        <v>0.78602836991712255</v>
      </c>
      <c r="E40" s="93">
        <f>+(E28-E36)/E28</f>
        <v>0.79538521512701732</v>
      </c>
      <c r="F40" s="93">
        <f>+(F28-F36)/F28</f>
        <v>0.80395800848533194</v>
      </c>
      <c r="G40" s="93">
        <f>+(G28-G36)/G28</f>
        <v>0.8079805503166434</v>
      </c>
      <c r="H40" s="93">
        <f>+(H28-H36)/H28</f>
        <v>0.81184133591346352</v>
      </c>
      <c r="I40" s="124"/>
      <c r="J40" s="126"/>
      <c r="K40" s="77"/>
    </row>
    <row r="41" spans="1:14" s="94" customFormat="1" ht="15.75" customHeight="1" x14ac:dyDescent="0.25">
      <c r="A41" s="77"/>
      <c r="B41" s="92" t="s">
        <v>141</v>
      </c>
      <c r="C41" s="79"/>
      <c r="D41" s="93">
        <f>+(D31-D37)/D31</f>
        <v>0.83755490444092207</v>
      </c>
      <c r="E41" s="93">
        <f>+(E31-E37)/E31</f>
        <v>0.83496269546923463</v>
      </c>
      <c r="F41" s="93">
        <f>+(F31-F37)/F31</f>
        <v>0.83228641485522215</v>
      </c>
      <c r="G41" s="93">
        <f>+(G31-G37)/G31</f>
        <v>0.83091545911834397</v>
      </c>
      <c r="H41" s="93">
        <f>+(H31-H37)/H31</f>
        <v>0.82952190520997859</v>
      </c>
      <c r="I41" s="124"/>
      <c r="J41" s="126"/>
      <c r="K41" s="77"/>
    </row>
    <row r="42" spans="1:14" s="65" customFormat="1" ht="15.75" customHeight="1" x14ac:dyDescent="0.25">
      <c r="A42" s="77"/>
      <c r="B42" s="78"/>
      <c r="C42" s="79"/>
      <c r="D42" s="80"/>
      <c r="E42" s="80"/>
      <c r="F42" s="80"/>
      <c r="G42" s="80"/>
      <c r="H42" s="80"/>
      <c r="I42" s="125"/>
      <c r="J42" s="126"/>
      <c r="K42" s="77"/>
    </row>
    <row r="43" spans="1:14" s="65" customFormat="1" ht="15.75" customHeight="1" x14ac:dyDescent="0.25">
      <c r="A43" s="77"/>
      <c r="B43" s="21"/>
      <c r="C43" s="20" t="s">
        <v>44</v>
      </c>
      <c r="D43" s="20" t="s">
        <v>33</v>
      </c>
      <c r="E43" s="20" t="s">
        <v>32</v>
      </c>
      <c r="F43" s="20" t="s">
        <v>31</v>
      </c>
      <c r="G43" s="20" t="s">
        <v>30</v>
      </c>
      <c r="H43" s="20" t="s">
        <v>29</v>
      </c>
      <c r="I43" s="20" t="s">
        <v>138</v>
      </c>
      <c r="J43" s="98"/>
      <c r="K43" s="15" t="s">
        <v>133</v>
      </c>
      <c r="L43" s="83" t="s">
        <v>134</v>
      </c>
      <c r="M43" s="83" t="s">
        <v>135</v>
      </c>
      <c r="N43" s="83" t="s">
        <v>136</v>
      </c>
    </row>
    <row r="44" spans="1:14" ht="15.75" customHeight="1" x14ac:dyDescent="0.25">
      <c r="A44" s="15"/>
      <c r="B44" s="15"/>
      <c r="C44" s="15"/>
      <c r="D44" s="101">
        <f>D57+D69+D72+D78+D90+D100</f>
        <v>1.0044348782478092</v>
      </c>
      <c r="E44" s="101">
        <f>E57+E69+E72+E78+E90+E100</f>
        <v>1.0138645838532554</v>
      </c>
      <c r="F44" s="101">
        <f>F57+F69+F72+F78+F90+F100</f>
        <v>1.0165516003091311</v>
      </c>
      <c r="G44" s="101">
        <f>G57+G69+G72+G78+G90+G100</f>
        <v>1.0176667403106288</v>
      </c>
      <c r="H44" s="101">
        <f>H57+H69+H72+H78+H90+H100</f>
        <v>1.0173177776197397</v>
      </c>
      <c r="I44" s="119">
        <f>I57+I69+I72+I78+I100</f>
        <v>1</v>
      </c>
      <c r="J44" s="28"/>
      <c r="K44" s="15"/>
    </row>
    <row r="45" spans="1:14" ht="15.75" customHeight="1" x14ac:dyDescent="0.25">
      <c r="A45" s="15"/>
      <c r="B45" s="21" t="s">
        <v>137</v>
      </c>
      <c r="C45" s="20"/>
      <c r="D45" s="39">
        <f>SUM(D46:D56)</f>
        <v>34880</v>
      </c>
      <c r="E45" s="39">
        <f t="shared" ref="E45:H45" si="14">SUM(E46:E56)</f>
        <v>27250</v>
      </c>
      <c r="F45" s="39">
        <f t="shared" si="14"/>
        <v>27250</v>
      </c>
      <c r="G45" s="39">
        <f t="shared" si="14"/>
        <v>27250</v>
      </c>
      <c r="H45" s="39">
        <f t="shared" si="14"/>
        <v>27250</v>
      </c>
      <c r="I45" s="39">
        <f>SUM(D45:H45)</f>
        <v>143880</v>
      </c>
      <c r="J45" s="28"/>
      <c r="K45" s="82">
        <f t="shared" ref="K45:N60" si="15">IFERROR(E45/D45-1,)</f>
        <v>-0.21875</v>
      </c>
      <c r="L45" s="82">
        <f t="shared" si="15"/>
        <v>0</v>
      </c>
      <c r="M45" s="82">
        <f t="shared" si="15"/>
        <v>0</v>
      </c>
      <c r="N45" s="82">
        <f t="shared" si="15"/>
        <v>0</v>
      </c>
    </row>
    <row r="46" spans="1:14" ht="15.75" hidden="1" customHeight="1" outlineLevel="1" x14ac:dyDescent="0.25">
      <c r="A46" s="14"/>
      <c r="B46" t="s">
        <v>56</v>
      </c>
      <c r="C46" s="29">
        <f>Inputs!H3</f>
        <v>2725</v>
      </c>
      <c r="D46" s="29">
        <f>Inputs!$J$4</f>
        <v>2616.0000000000005</v>
      </c>
      <c r="E46" s="29">
        <f>Inputs!$J$4</f>
        <v>2616.0000000000005</v>
      </c>
      <c r="F46" s="29">
        <f>Inputs!$J$4</f>
        <v>2616.0000000000005</v>
      </c>
      <c r="G46" s="29">
        <f>Inputs!$J$4</f>
        <v>2616.0000000000005</v>
      </c>
      <c r="H46" s="29">
        <f>Inputs!$J$4</f>
        <v>2616.0000000000005</v>
      </c>
      <c r="I46" s="121">
        <f>SUM(D46:H46)</f>
        <v>13080.000000000002</v>
      </c>
      <c r="J46" s="30"/>
      <c r="K46" s="82">
        <f>IFERROR(E46/D46-1,)</f>
        <v>0</v>
      </c>
      <c r="L46" s="82">
        <f t="shared" si="15"/>
        <v>0</v>
      </c>
      <c r="M46" s="82">
        <f t="shared" si="15"/>
        <v>0</v>
      </c>
      <c r="N46" s="82">
        <f t="shared" si="15"/>
        <v>0</v>
      </c>
    </row>
    <row r="47" spans="1:14" ht="15.75" hidden="1" customHeight="1" outlineLevel="1" x14ac:dyDescent="0.25">
      <c r="A47" s="14"/>
      <c r="B47" s="68" t="s">
        <v>4</v>
      </c>
      <c r="C47" s="15"/>
      <c r="D47" s="29">
        <f>Inputs!J5</f>
        <v>2180</v>
      </c>
      <c r="E47" s="29">
        <f>Inputs!K5</f>
        <v>1090</v>
      </c>
      <c r="F47" s="29">
        <f>Inputs!L5</f>
        <v>1090</v>
      </c>
      <c r="G47" s="29">
        <f>Inputs!M5</f>
        <v>1090</v>
      </c>
      <c r="H47" s="29">
        <f>Inputs!N5</f>
        <v>1090</v>
      </c>
      <c r="I47" s="121">
        <f t="shared" ref="I47:I56" si="16">SUM(D47:H47)</f>
        <v>6540</v>
      </c>
      <c r="J47" s="30"/>
      <c r="K47" s="82">
        <f t="shared" ref="K47:N68" si="17">IFERROR(E47/D47-1,)</f>
        <v>-0.5</v>
      </c>
      <c r="L47" s="82">
        <f t="shared" si="15"/>
        <v>0</v>
      </c>
      <c r="M47" s="82">
        <f t="shared" si="15"/>
        <v>0</v>
      </c>
      <c r="N47" s="82">
        <f t="shared" si="15"/>
        <v>0</v>
      </c>
    </row>
    <row r="48" spans="1:14" ht="15.75" hidden="1" customHeight="1" outlineLevel="1" x14ac:dyDescent="0.25">
      <c r="A48" s="14"/>
      <c r="B48" t="s">
        <v>75</v>
      </c>
      <c r="C48" s="15"/>
      <c r="D48" s="29">
        <f>Inputs!J6</f>
        <v>5450</v>
      </c>
      <c r="E48" s="29">
        <f>Inputs!K6</f>
        <v>2725</v>
      </c>
      <c r="F48" s="29">
        <f>Inputs!L6</f>
        <v>2725</v>
      </c>
      <c r="G48" s="29">
        <f>Inputs!M6</f>
        <v>2725</v>
      </c>
      <c r="H48" s="29">
        <f>Inputs!N6</f>
        <v>2725</v>
      </c>
      <c r="I48" s="121">
        <f t="shared" si="16"/>
        <v>16350</v>
      </c>
      <c r="J48" s="30"/>
      <c r="K48" s="82">
        <f t="shared" si="17"/>
        <v>-0.5</v>
      </c>
      <c r="L48" s="82">
        <f t="shared" si="15"/>
        <v>0</v>
      </c>
      <c r="M48" s="82">
        <f t="shared" si="15"/>
        <v>0</v>
      </c>
      <c r="N48" s="82">
        <f t="shared" si="15"/>
        <v>0</v>
      </c>
    </row>
    <row r="49" spans="1:14" ht="15.75" hidden="1" customHeight="1" outlineLevel="1" x14ac:dyDescent="0.25">
      <c r="A49" s="14"/>
      <c r="B49" t="s">
        <v>76</v>
      </c>
      <c r="C49" s="15"/>
      <c r="D49" s="29">
        <f>Inputs!J7</f>
        <v>1090</v>
      </c>
      <c r="E49" s="29">
        <f>Inputs!K7</f>
        <v>545</v>
      </c>
      <c r="F49" s="29">
        <f>Inputs!L7</f>
        <v>545</v>
      </c>
      <c r="G49" s="29">
        <f>Inputs!M7</f>
        <v>545</v>
      </c>
      <c r="H49" s="29">
        <f>Inputs!N7</f>
        <v>545</v>
      </c>
      <c r="I49" s="121">
        <f t="shared" si="16"/>
        <v>3270</v>
      </c>
      <c r="J49" s="30"/>
      <c r="K49" s="82">
        <f t="shared" si="17"/>
        <v>-0.5</v>
      </c>
      <c r="L49" s="82">
        <f t="shared" si="15"/>
        <v>0</v>
      </c>
      <c r="M49" s="82">
        <f t="shared" si="15"/>
        <v>0</v>
      </c>
      <c r="N49" s="82">
        <f t="shared" si="15"/>
        <v>0</v>
      </c>
    </row>
    <row r="50" spans="1:14" ht="15.75" hidden="1" customHeight="1" outlineLevel="1" x14ac:dyDescent="0.25">
      <c r="A50" s="14"/>
      <c r="B50" t="s">
        <v>77</v>
      </c>
      <c r="C50" s="15"/>
      <c r="D50" s="29">
        <f>Inputs!J8</f>
        <v>1090</v>
      </c>
      <c r="E50" s="29">
        <f>Inputs!K8</f>
        <v>545</v>
      </c>
      <c r="F50" s="29">
        <f>Inputs!L8</f>
        <v>545</v>
      </c>
      <c r="G50" s="29">
        <f>Inputs!M8</f>
        <v>545</v>
      </c>
      <c r="H50" s="29">
        <f>Inputs!N8</f>
        <v>545</v>
      </c>
      <c r="I50" s="121">
        <f t="shared" si="16"/>
        <v>3270</v>
      </c>
      <c r="J50" s="30"/>
      <c r="K50" s="82">
        <f t="shared" si="17"/>
        <v>-0.5</v>
      </c>
      <c r="L50" s="82">
        <f t="shared" si="15"/>
        <v>0</v>
      </c>
      <c r="M50" s="82">
        <f t="shared" si="15"/>
        <v>0</v>
      </c>
      <c r="N50" s="82">
        <f t="shared" si="15"/>
        <v>0</v>
      </c>
    </row>
    <row r="51" spans="1:14" ht="15.75" hidden="1" customHeight="1" outlineLevel="1" x14ac:dyDescent="0.25">
      <c r="A51" s="14"/>
      <c r="B51" t="s">
        <v>78</v>
      </c>
      <c r="C51" s="14"/>
      <c r="D51" s="29">
        <f>Inputs!J9</f>
        <v>3270</v>
      </c>
      <c r="E51" s="29">
        <f>Inputs!K9</f>
        <v>1090</v>
      </c>
      <c r="F51" s="29">
        <f>Inputs!L9</f>
        <v>1090</v>
      </c>
      <c r="G51" s="29">
        <f>Inputs!M9</f>
        <v>1090</v>
      </c>
      <c r="H51" s="29">
        <f>Inputs!N9</f>
        <v>1090</v>
      </c>
      <c r="I51" s="121">
        <f t="shared" si="16"/>
        <v>7630</v>
      </c>
      <c r="J51" s="30"/>
      <c r="K51" s="82">
        <f t="shared" si="17"/>
        <v>-0.66666666666666674</v>
      </c>
      <c r="L51" s="82">
        <f t="shared" si="15"/>
        <v>0</v>
      </c>
      <c r="M51" s="82">
        <f t="shared" si="15"/>
        <v>0</v>
      </c>
      <c r="N51" s="82">
        <f t="shared" si="15"/>
        <v>0</v>
      </c>
    </row>
    <row r="52" spans="1:14" ht="15.75" hidden="1" customHeight="1" outlineLevel="1" x14ac:dyDescent="0.25">
      <c r="A52" s="14"/>
      <c r="B52" t="s">
        <v>79</v>
      </c>
      <c r="C52" s="15"/>
      <c r="D52" s="29">
        <f>Inputs!J10</f>
        <v>1090</v>
      </c>
      <c r="E52" s="29">
        <f>Inputs!K10</f>
        <v>545</v>
      </c>
      <c r="F52" s="29">
        <f>Inputs!L10</f>
        <v>545</v>
      </c>
      <c r="G52" s="29">
        <f>Inputs!M10</f>
        <v>545</v>
      </c>
      <c r="H52" s="29">
        <f>Inputs!N10</f>
        <v>545</v>
      </c>
      <c r="I52" s="121">
        <f t="shared" si="16"/>
        <v>3270</v>
      </c>
      <c r="J52" s="30"/>
      <c r="K52" s="82">
        <f t="shared" si="17"/>
        <v>-0.5</v>
      </c>
      <c r="L52" s="82">
        <f t="shared" si="15"/>
        <v>0</v>
      </c>
      <c r="M52" s="82">
        <f t="shared" si="15"/>
        <v>0</v>
      </c>
      <c r="N52" s="82">
        <f t="shared" si="15"/>
        <v>0</v>
      </c>
    </row>
    <row r="53" spans="1:14" ht="15.75" hidden="1" customHeight="1" outlineLevel="1" x14ac:dyDescent="0.25">
      <c r="A53" s="14"/>
      <c r="B53" t="s">
        <v>11</v>
      </c>
      <c r="C53" s="15"/>
      <c r="D53" s="29">
        <f>Inputs!J11</f>
        <v>872.00000000000011</v>
      </c>
      <c r="E53" s="29">
        <f>Inputs!K11</f>
        <v>872.00000000000011</v>
      </c>
      <c r="F53" s="29">
        <f>Inputs!L11</f>
        <v>872.00000000000011</v>
      </c>
      <c r="G53" s="29">
        <f>Inputs!M11</f>
        <v>872.00000000000011</v>
      </c>
      <c r="H53" s="29">
        <f>Inputs!N11</f>
        <v>872.00000000000011</v>
      </c>
      <c r="I53" s="121">
        <f t="shared" si="16"/>
        <v>4360.0000000000009</v>
      </c>
      <c r="J53" s="30"/>
      <c r="K53" s="82">
        <f t="shared" si="17"/>
        <v>0</v>
      </c>
      <c r="L53" s="82">
        <f t="shared" si="15"/>
        <v>0</v>
      </c>
      <c r="M53" s="82">
        <f t="shared" si="15"/>
        <v>0</v>
      </c>
      <c r="N53" s="82">
        <f t="shared" si="15"/>
        <v>0</v>
      </c>
    </row>
    <row r="54" spans="1:14" ht="15.75" hidden="1" customHeight="1" outlineLevel="1" x14ac:dyDescent="0.25">
      <c r="A54" s="14"/>
      <c r="B54" t="s">
        <v>81</v>
      </c>
      <c r="C54" s="15"/>
      <c r="D54" s="29">
        <f>Inputs!J12</f>
        <v>872.00000000000011</v>
      </c>
      <c r="E54" s="29">
        <f>Inputs!K12</f>
        <v>872.00000000000011</v>
      </c>
      <c r="F54" s="29">
        <f>Inputs!L12</f>
        <v>872.00000000000011</v>
      </c>
      <c r="G54" s="29">
        <f>Inputs!M12</f>
        <v>872.00000000000011</v>
      </c>
      <c r="H54" s="29">
        <f>Inputs!N12</f>
        <v>872.00000000000011</v>
      </c>
      <c r="I54" s="121">
        <f t="shared" si="16"/>
        <v>4360.0000000000009</v>
      </c>
      <c r="J54" s="30"/>
      <c r="K54" s="82">
        <f t="shared" si="17"/>
        <v>0</v>
      </c>
      <c r="L54" s="82">
        <f t="shared" si="15"/>
        <v>0</v>
      </c>
      <c r="M54" s="82">
        <f t="shared" si="15"/>
        <v>0</v>
      </c>
      <c r="N54" s="82">
        <f t="shared" si="15"/>
        <v>0</v>
      </c>
    </row>
    <row r="55" spans="1:14" ht="15.75" hidden="1" customHeight="1" outlineLevel="1" x14ac:dyDescent="0.25">
      <c r="A55" s="14"/>
      <c r="B55" s="1" t="s">
        <v>80</v>
      </c>
      <c r="C55" s="15"/>
      <c r="D55" s="29">
        <f>Inputs!J13</f>
        <v>5450</v>
      </c>
      <c r="E55" s="29">
        <f>Inputs!K13</f>
        <v>5450</v>
      </c>
      <c r="F55" s="29">
        <f>Inputs!L13</f>
        <v>5450</v>
      </c>
      <c r="G55" s="29">
        <f>Inputs!M13</f>
        <v>5450</v>
      </c>
      <c r="H55" s="29">
        <f>Inputs!N13</f>
        <v>5450</v>
      </c>
      <c r="I55" s="121">
        <f t="shared" si="16"/>
        <v>27250</v>
      </c>
      <c r="J55" s="30"/>
      <c r="K55" s="82">
        <f t="shared" si="17"/>
        <v>0</v>
      </c>
      <c r="L55" s="82">
        <f t="shared" si="15"/>
        <v>0</v>
      </c>
      <c r="M55" s="82">
        <f t="shared" si="15"/>
        <v>0</v>
      </c>
      <c r="N55" s="82">
        <f t="shared" si="15"/>
        <v>0</v>
      </c>
    </row>
    <row r="56" spans="1:14" ht="15.75" hidden="1" customHeight="1" outlineLevel="1" x14ac:dyDescent="0.25">
      <c r="A56" s="14"/>
      <c r="B56" t="s">
        <v>82</v>
      </c>
      <c r="C56" s="22"/>
      <c r="D56" s="29">
        <f>Inputs!J14</f>
        <v>10900</v>
      </c>
      <c r="E56" s="29">
        <f>Inputs!K14</f>
        <v>10900</v>
      </c>
      <c r="F56" s="29">
        <f>Inputs!L14</f>
        <v>10900</v>
      </c>
      <c r="G56" s="29">
        <f>Inputs!M14</f>
        <v>10900</v>
      </c>
      <c r="H56" s="29">
        <f>Inputs!N14</f>
        <v>10900</v>
      </c>
      <c r="I56" s="121">
        <f t="shared" si="16"/>
        <v>54500</v>
      </c>
      <c r="J56" s="30"/>
      <c r="K56" s="82">
        <f t="shared" si="17"/>
        <v>0</v>
      </c>
      <c r="L56" s="82">
        <f t="shared" si="15"/>
        <v>0</v>
      </c>
      <c r="M56" s="82">
        <f t="shared" si="15"/>
        <v>0</v>
      </c>
      <c r="N56" s="82">
        <f t="shared" si="15"/>
        <v>0</v>
      </c>
    </row>
    <row r="57" spans="1:14" ht="15.75" customHeight="1" collapsed="1" x14ac:dyDescent="0.25">
      <c r="A57" s="14"/>
      <c r="B57" s="30"/>
      <c r="C57" s="41"/>
      <c r="D57" s="101">
        <f t="shared" ref="D57:I57" si="18">+D45/D$101</f>
        <v>0.10312570218905591</v>
      </c>
      <c r="E57" s="101">
        <f t="shared" si="18"/>
        <v>6.8692710909309992E-2</v>
      </c>
      <c r="F57" s="101">
        <f t="shared" si="18"/>
        <v>6.0137481123175712E-2</v>
      </c>
      <c r="G57" s="101">
        <f t="shared" si="18"/>
        <v>5.0675649838382096E-2</v>
      </c>
      <c r="H57" s="101">
        <f t="shared" si="18"/>
        <v>4.4943756203610116E-2</v>
      </c>
      <c r="I57" s="122">
        <f t="shared" si="18"/>
        <v>6.1695532123239201E-2</v>
      </c>
      <c r="J57" s="101">
        <f>SUM(D57:I57)</f>
        <v>0.38927083238677301</v>
      </c>
      <c r="K57" s="82"/>
      <c r="L57" s="82"/>
      <c r="M57" s="82"/>
      <c r="N57" s="82"/>
    </row>
    <row r="58" spans="1:14" ht="15.75" customHeight="1" x14ac:dyDescent="0.25">
      <c r="A58" s="14"/>
      <c r="B58" s="73" t="s">
        <v>40</v>
      </c>
      <c r="C58" s="74"/>
      <c r="D58" s="75">
        <f t="shared" ref="D58:I58" si="19">SUM(D59:D68)</f>
        <v>270756</v>
      </c>
      <c r="E58" s="75">
        <f t="shared" si="19"/>
        <v>335305.80000000005</v>
      </c>
      <c r="F58" s="75">
        <f t="shared" si="19"/>
        <v>390395.49</v>
      </c>
      <c r="G58" s="75">
        <f t="shared" si="19"/>
        <v>473248.62450000003</v>
      </c>
      <c r="H58" s="75">
        <f t="shared" si="19"/>
        <v>540458.29972500005</v>
      </c>
      <c r="I58" s="75">
        <f t="shared" si="19"/>
        <v>2010164.2142250002</v>
      </c>
      <c r="J58" s="30"/>
      <c r="K58" s="82">
        <f t="shared" ref="K58:N58" si="20">IFERROR(E58/D58-1,)</f>
        <v>0.23840579710144949</v>
      </c>
      <c r="L58" s="82">
        <f t="shared" si="20"/>
        <v>0.164296859762044</v>
      </c>
      <c r="M58" s="82">
        <f t="shared" si="20"/>
        <v>0.21222871836967183</v>
      </c>
      <c r="N58" s="82">
        <f t="shared" si="20"/>
        <v>0.1420176874174941</v>
      </c>
    </row>
    <row r="59" spans="1:14" ht="15.75" hidden="1" customHeight="1" outlineLevel="1" x14ac:dyDescent="0.25">
      <c r="A59" s="14"/>
      <c r="B59" s="49" t="s">
        <v>89</v>
      </c>
      <c r="C59" s="22"/>
      <c r="D59" s="120">
        <f>Inputs!I27</f>
        <v>15696</v>
      </c>
      <c r="E59" s="120">
        <f>Inputs!J27</f>
        <v>16480.8</v>
      </c>
      <c r="F59" s="120">
        <f>Inputs!K27</f>
        <v>17304.84</v>
      </c>
      <c r="G59" s="120">
        <f>Inputs!L27</f>
        <v>18170.082000000002</v>
      </c>
      <c r="H59" s="120">
        <f>Inputs!M27</f>
        <v>19078.586100000004</v>
      </c>
      <c r="I59" s="102">
        <f>SUM(D59:H59)</f>
        <v>86730.308100000009</v>
      </c>
      <c r="K59" s="82">
        <f t="shared" si="17"/>
        <v>5.0000000000000044E-2</v>
      </c>
      <c r="L59" s="82">
        <f t="shared" si="15"/>
        <v>5.0000000000000044E-2</v>
      </c>
      <c r="M59" s="82">
        <f t="shared" si="15"/>
        <v>5.0000000000000044E-2</v>
      </c>
      <c r="N59" s="82">
        <f t="shared" si="15"/>
        <v>5.0000000000000044E-2</v>
      </c>
    </row>
    <row r="60" spans="1:14" ht="15.75" hidden="1" customHeight="1" outlineLevel="1" x14ac:dyDescent="0.25">
      <c r="A60" s="14"/>
      <c r="B60" s="49" t="s">
        <v>111</v>
      </c>
      <c r="C60" s="22"/>
      <c r="D60" s="120">
        <f>Inputs!I28</f>
        <v>19620.000000000004</v>
      </c>
      <c r="E60" s="120">
        <f>Inputs!J28</f>
        <v>20601.000000000004</v>
      </c>
      <c r="F60" s="120">
        <f>Inputs!K28</f>
        <v>21631.050000000007</v>
      </c>
      <c r="G60" s="120">
        <f>Inputs!L28</f>
        <v>22712.602500000008</v>
      </c>
      <c r="H60" s="120">
        <f>Inputs!M28</f>
        <v>23848.232625000008</v>
      </c>
      <c r="I60" s="102">
        <f>SUM(D60:H60)</f>
        <v>108412.88512500003</v>
      </c>
      <c r="J60" s="30"/>
      <c r="K60" s="82">
        <f t="shared" si="17"/>
        <v>5.0000000000000044E-2</v>
      </c>
      <c r="L60" s="82">
        <f t="shared" si="15"/>
        <v>5.0000000000000044E-2</v>
      </c>
      <c r="M60" s="82">
        <f t="shared" si="15"/>
        <v>5.0000000000000044E-2</v>
      </c>
      <c r="N60" s="82">
        <f t="shared" si="15"/>
        <v>5.0000000000000044E-2</v>
      </c>
    </row>
    <row r="61" spans="1:14" ht="15.75" hidden="1" customHeight="1" outlineLevel="1" x14ac:dyDescent="0.25">
      <c r="A61" s="14"/>
      <c r="B61" s="49" t="s">
        <v>112</v>
      </c>
      <c r="C61" s="22"/>
      <c r="D61" s="120"/>
      <c r="E61" s="120">
        <f>Inputs!I28</f>
        <v>19620.000000000004</v>
      </c>
      <c r="F61" s="120">
        <f>Inputs!J28</f>
        <v>20601.000000000004</v>
      </c>
      <c r="G61" s="120">
        <f>Inputs!K28</f>
        <v>21631.050000000007</v>
      </c>
      <c r="H61" s="120">
        <f>Inputs!L28</f>
        <v>22712.602500000008</v>
      </c>
      <c r="I61" s="102">
        <f t="shared" ref="I61:I68" si="21">SUM(D61:H61)</f>
        <v>84564.652500000026</v>
      </c>
      <c r="J61" s="30"/>
      <c r="K61" s="82">
        <f t="shared" si="17"/>
        <v>0</v>
      </c>
      <c r="L61" s="82">
        <f t="shared" si="17"/>
        <v>5.0000000000000044E-2</v>
      </c>
      <c r="M61" s="82">
        <f t="shared" si="17"/>
        <v>5.0000000000000044E-2</v>
      </c>
      <c r="N61" s="82">
        <f t="shared" si="17"/>
        <v>5.0000000000000044E-2</v>
      </c>
    </row>
    <row r="62" spans="1:14" ht="15.75" hidden="1" customHeight="1" outlineLevel="1" x14ac:dyDescent="0.25">
      <c r="A62" s="14"/>
      <c r="B62" s="49" t="s">
        <v>113</v>
      </c>
      <c r="C62" s="22"/>
      <c r="D62" s="120"/>
      <c r="E62" s="120">
        <f>Inputs!I28</f>
        <v>19620.000000000004</v>
      </c>
      <c r="F62" s="120">
        <f>Inputs!J28</f>
        <v>20601.000000000004</v>
      </c>
      <c r="G62" s="120">
        <f>Inputs!K28</f>
        <v>21631.050000000007</v>
      </c>
      <c r="H62" s="120">
        <f>Inputs!L28</f>
        <v>22712.602500000008</v>
      </c>
      <c r="I62" s="102">
        <f t="shared" si="21"/>
        <v>84564.652500000026</v>
      </c>
      <c r="J62" s="71"/>
      <c r="K62" s="82">
        <f t="shared" si="17"/>
        <v>0</v>
      </c>
      <c r="L62" s="82">
        <f t="shared" si="17"/>
        <v>5.0000000000000044E-2</v>
      </c>
      <c r="M62" s="82">
        <f t="shared" si="17"/>
        <v>5.0000000000000044E-2</v>
      </c>
      <c r="N62" s="82">
        <f t="shared" si="17"/>
        <v>5.0000000000000044E-2</v>
      </c>
    </row>
    <row r="63" spans="1:14" ht="15.75" hidden="1" customHeight="1" outlineLevel="1" x14ac:dyDescent="0.25">
      <c r="A63" s="14"/>
      <c r="B63" s="49" t="s">
        <v>153</v>
      </c>
      <c r="C63" s="22"/>
      <c r="D63" s="120"/>
      <c r="E63" s="120"/>
      <c r="F63" s="120">
        <f>Inputs!I28</f>
        <v>19620.000000000004</v>
      </c>
      <c r="G63" s="120">
        <f>Inputs!I28</f>
        <v>19620.000000000004</v>
      </c>
      <c r="H63" s="120">
        <f>Inputs!J28</f>
        <v>20601.000000000004</v>
      </c>
      <c r="I63" s="102">
        <f t="shared" si="21"/>
        <v>59841.000000000015</v>
      </c>
      <c r="J63" s="71"/>
      <c r="K63" s="82"/>
      <c r="L63" s="82"/>
      <c r="M63" s="82"/>
      <c r="N63" s="82"/>
    </row>
    <row r="64" spans="1:14" ht="15.75" hidden="1" customHeight="1" outlineLevel="1" x14ac:dyDescent="0.25">
      <c r="A64" s="14"/>
      <c r="B64" s="49" t="s">
        <v>154</v>
      </c>
      <c r="C64" s="22"/>
      <c r="D64" s="120"/>
      <c r="E64" s="120"/>
      <c r="F64" s="120"/>
      <c r="G64" s="120">
        <f>Inputs!I29</f>
        <v>23544.000000000004</v>
      </c>
      <c r="H64" s="120">
        <f>Inputs!J29</f>
        <v>24721.200000000004</v>
      </c>
      <c r="I64" s="102">
        <f t="shared" si="21"/>
        <v>48265.200000000012</v>
      </c>
      <c r="J64" s="30"/>
      <c r="K64" s="82">
        <f t="shared" si="17"/>
        <v>0</v>
      </c>
      <c r="L64" s="82">
        <f t="shared" si="17"/>
        <v>0</v>
      </c>
      <c r="M64" s="82">
        <f t="shared" si="17"/>
        <v>0</v>
      </c>
      <c r="N64" s="82">
        <f t="shared" si="17"/>
        <v>5.0000000000000044E-2</v>
      </c>
    </row>
    <row r="65" spans="1:14" ht="15.75" hidden="1" customHeight="1" outlineLevel="1" x14ac:dyDescent="0.25">
      <c r="A65" s="14"/>
      <c r="B65" s="49" t="s">
        <v>114</v>
      </c>
      <c r="C65" s="22"/>
      <c r="D65" s="120"/>
      <c r="E65" s="120"/>
      <c r="F65" s="120"/>
      <c r="G65" s="120">
        <f>Inputs!I28</f>
        <v>19620.000000000004</v>
      </c>
      <c r="H65" s="120">
        <f>Inputs!J28</f>
        <v>20601.000000000004</v>
      </c>
      <c r="I65" s="102">
        <f t="shared" si="21"/>
        <v>40221.000000000007</v>
      </c>
      <c r="J65" s="30"/>
      <c r="K65" s="82">
        <f t="shared" si="17"/>
        <v>0</v>
      </c>
      <c r="L65" s="82">
        <f t="shared" si="17"/>
        <v>0</v>
      </c>
      <c r="M65" s="82">
        <f t="shared" si="17"/>
        <v>0</v>
      </c>
      <c r="N65" s="82">
        <f t="shared" si="17"/>
        <v>5.0000000000000044E-2</v>
      </c>
    </row>
    <row r="66" spans="1:14" ht="15.75" hidden="1" customHeight="1" outlineLevel="1" x14ac:dyDescent="0.25">
      <c r="A66" s="14"/>
      <c r="B66" s="49" t="s">
        <v>152</v>
      </c>
      <c r="C66" s="22"/>
      <c r="D66" s="120"/>
      <c r="E66" s="120"/>
      <c r="F66" s="120"/>
      <c r="G66" s="120"/>
      <c r="H66" s="120">
        <f>Inputs!I28</f>
        <v>19620.000000000004</v>
      </c>
      <c r="I66" s="102">
        <f t="shared" si="21"/>
        <v>19620.000000000004</v>
      </c>
      <c r="J66" s="30"/>
      <c r="K66" s="82"/>
      <c r="L66" s="82"/>
      <c r="M66" s="82"/>
      <c r="N66" s="82"/>
    </row>
    <row r="67" spans="1:14" ht="15.75" hidden="1" customHeight="1" outlineLevel="1" x14ac:dyDescent="0.25">
      <c r="A67" s="14"/>
      <c r="B67" s="49" t="s">
        <v>115</v>
      </c>
      <c r="C67" s="22"/>
      <c r="D67" s="120">
        <f>Inputs!I30</f>
        <v>104640</v>
      </c>
      <c r="E67" s="120">
        <f>Inputs!J30</f>
        <v>115104.00000000001</v>
      </c>
      <c r="F67" s="120">
        <f>Inputs!K30</f>
        <v>132369.60000000001</v>
      </c>
      <c r="G67" s="120">
        <f>Inputs!L30</f>
        <v>152225.04</v>
      </c>
      <c r="H67" s="120">
        <f>Inputs!M30</f>
        <v>175058.796</v>
      </c>
      <c r="I67" s="102">
        <f t="shared" si="21"/>
        <v>679397.43599999999</v>
      </c>
      <c r="J67" s="30"/>
      <c r="K67" s="82">
        <f t="shared" si="17"/>
        <v>0.10000000000000009</v>
      </c>
      <c r="L67" s="82">
        <f t="shared" si="17"/>
        <v>0.14999999999999991</v>
      </c>
      <c r="M67" s="82">
        <f t="shared" si="17"/>
        <v>0.14999999999999991</v>
      </c>
      <c r="N67" s="82">
        <f t="shared" si="17"/>
        <v>0.14999999999999991</v>
      </c>
    </row>
    <row r="68" spans="1:14" ht="15.75" hidden="1" customHeight="1" outlineLevel="1" x14ac:dyDescent="0.25">
      <c r="A68" s="14"/>
      <c r="B68" s="49" t="s">
        <v>91</v>
      </c>
      <c r="C68" s="22"/>
      <c r="D68" s="120">
        <f>Inputs!I31</f>
        <v>130800</v>
      </c>
      <c r="E68" s="120">
        <f>Inputs!J31</f>
        <v>143880</v>
      </c>
      <c r="F68" s="120">
        <f>Inputs!K31</f>
        <v>158268</v>
      </c>
      <c r="G68" s="120">
        <f>Inputs!L31</f>
        <v>174094.80000000002</v>
      </c>
      <c r="H68" s="120">
        <f>Inputs!M31</f>
        <v>191504.28000000003</v>
      </c>
      <c r="I68" s="102">
        <f t="shared" si="21"/>
        <v>798547.08000000007</v>
      </c>
      <c r="J68" s="30"/>
      <c r="K68" s="82">
        <f t="shared" si="17"/>
        <v>0.10000000000000009</v>
      </c>
      <c r="L68" s="82">
        <f t="shared" si="17"/>
        <v>0.10000000000000009</v>
      </c>
      <c r="M68" s="82">
        <f t="shared" si="17"/>
        <v>0.10000000000000009</v>
      </c>
      <c r="N68" s="82">
        <f t="shared" si="17"/>
        <v>0.10000000000000009</v>
      </c>
    </row>
    <row r="69" spans="1:14" ht="15.75" customHeight="1" collapsed="1" x14ac:dyDescent="0.25">
      <c r="A69" s="14"/>
      <c r="B69" s="49"/>
      <c r="C69" s="22"/>
      <c r="D69" s="101">
        <f t="shared" ref="D69:I69" si="22">+D58/D$101</f>
        <v>0.80051326324254646</v>
      </c>
      <c r="E69" s="101">
        <f t="shared" si="22"/>
        <v>0.84525006919687773</v>
      </c>
      <c r="F69" s="101">
        <f t="shared" si="22"/>
        <v>0.8615560150623095</v>
      </c>
      <c r="G69" s="101">
        <f t="shared" si="22"/>
        <v>0.88008005804249456</v>
      </c>
      <c r="H69" s="101">
        <f t="shared" si="22"/>
        <v>0.89138444260763472</v>
      </c>
      <c r="I69" s="122">
        <f t="shared" si="22"/>
        <v>0.86195545490481218</v>
      </c>
      <c r="J69" s="30"/>
      <c r="K69" s="14"/>
    </row>
    <row r="70" spans="1:14" ht="15.75" customHeight="1" x14ac:dyDescent="0.25">
      <c r="A70" s="14"/>
      <c r="B70" s="73" t="s">
        <v>97</v>
      </c>
      <c r="C70" s="73"/>
      <c r="D70" s="75">
        <f>D71</f>
        <v>2616.0000000000005</v>
      </c>
      <c r="E70" s="75">
        <f t="shared" ref="E70:H70" si="23">E71</f>
        <v>2877.6000000000008</v>
      </c>
      <c r="F70" s="75">
        <f t="shared" si="23"/>
        <v>3165.360000000001</v>
      </c>
      <c r="G70" s="75">
        <f t="shared" si="23"/>
        <v>3481.8960000000015</v>
      </c>
      <c r="H70" s="75">
        <f t="shared" si="23"/>
        <v>3830.0856000000022</v>
      </c>
      <c r="I70" s="75">
        <f>SUM(D71:H71)</f>
        <v>15970.941600000006</v>
      </c>
      <c r="J70" s="30"/>
      <c r="K70" s="82">
        <f t="shared" ref="K70:N71" si="24">IFERROR(E70/D70-1,)</f>
        <v>0.10000000000000009</v>
      </c>
      <c r="L70" s="82">
        <f t="shared" si="24"/>
        <v>0.10000000000000009</v>
      </c>
      <c r="M70" s="82">
        <f t="shared" si="24"/>
        <v>0.10000000000000009</v>
      </c>
      <c r="N70" s="82">
        <f t="shared" si="24"/>
        <v>0.10000000000000009</v>
      </c>
    </row>
    <row r="71" spans="1:14" ht="15.75" hidden="1" customHeight="1" outlineLevel="1" x14ac:dyDescent="0.25">
      <c r="A71" s="14"/>
      <c r="B71" s="30" t="s">
        <v>93</v>
      </c>
      <c r="C71" s="22"/>
      <c r="D71" s="29">
        <f>Inputs!I34</f>
        <v>2616.0000000000005</v>
      </c>
      <c r="E71" s="29">
        <f>Inputs!J34</f>
        <v>2877.6000000000008</v>
      </c>
      <c r="F71" s="29">
        <f>Inputs!K34</f>
        <v>3165.360000000001</v>
      </c>
      <c r="G71" s="29">
        <f>Inputs!L34</f>
        <v>3481.8960000000015</v>
      </c>
      <c r="H71" s="29">
        <f>Inputs!M34</f>
        <v>3830.0856000000022</v>
      </c>
      <c r="I71" s="102">
        <f>SUM(D71:H71)</f>
        <v>15970.941600000006</v>
      </c>
      <c r="J71" s="30"/>
      <c r="K71" s="82">
        <f t="shared" si="24"/>
        <v>0.10000000000000009</v>
      </c>
      <c r="L71" s="82">
        <f t="shared" si="24"/>
        <v>0.10000000000000009</v>
      </c>
      <c r="M71" s="82">
        <f t="shared" si="24"/>
        <v>0.10000000000000009</v>
      </c>
      <c r="N71" s="82">
        <f t="shared" si="24"/>
        <v>0.10000000000000009</v>
      </c>
    </row>
    <row r="72" spans="1:14" ht="15.75" customHeight="1" collapsed="1" x14ac:dyDescent="0.25">
      <c r="A72" s="14"/>
      <c r="B72" s="30"/>
      <c r="C72" s="22"/>
      <c r="D72" s="101">
        <f>+D70/D$101</f>
        <v>7.7344276641791937E-3</v>
      </c>
      <c r="E72" s="101">
        <f t="shared" ref="E72:I72" si="25">+E70/E$101</f>
        <v>7.253950272023137E-3</v>
      </c>
      <c r="F72" s="101">
        <f t="shared" si="25"/>
        <v>6.9855698072680932E-3</v>
      </c>
      <c r="G72" s="101">
        <f t="shared" si="25"/>
        <v>6.4751318337491143E-3</v>
      </c>
      <c r="H72" s="101">
        <f t="shared" si="25"/>
        <v>6.3170067319397389E-3</v>
      </c>
      <c r="I72" s="122">
        <f t="shared" si="25"/>
        <v>6.8483162393743226E-3</v>
      </c>
      <c r="J72" s="30"/>
      <c r="K72" s="14"/>
    </row>
    <row r="73" spans="1:14" ht="15.75" customHeight="1" x14ac:dyDescent="0.25">
      <c r="A73" s="14"/>
      <c r="B73" s="73" t="s">
        <v>119</v>
      </c>
      <c r="C73" s="73"/>
      <c r="D73" s="75">
        <f>SUM(D74:D77)</f>
        <v>28776.000000000004</v>
      </c>
      <c r="E73" s="75">
        <f t="shared" ref="E73:H73" si="26">SUM(E74:E77)</f>
        <v>29560.800000000003</v>
      </c>
      <c r="F73" s="75">
        <f t="shared" si="26"/>
        <v>30417.540000000005</v>
      </c>
      <c r="G73" s="75">
        <f t="shared" si="26"/>
        <v>31353.08700000001</v>
      </c>
      <c r="H73" s="75">
        <f t="shared" si="26"/>
        <v>32374.978350000009</v>
      </c>
      <c r="I73" s="75">
        <f>SUM(D73:H73)</f>
        <v>152482.40535000004</v>
      </c>
      <c r="J73" s="30"/>
      <c r="K73" s="82">
        <f t="shared" ref="K73:N77" si="27">IFERROR(E73/D73-1,)</f>
        <v>2.7272727272727337E-2</v>
      </c>
      <c r="L73" s="82">
        <f t="shared" si="27"/>
        <v>2.8982300884955903E-2</v>
      </c>
      <c r="M73" s="82">
        <f t="shared" si="27"/>
        <v>3.0756826488927302E-2</v>
      </c>
      <c r="N73" s="82">
        <f t="shared" si="27"/>
        <v>3.2593005913580386E-2</v>
      </c>
    </row>
    <row r="74" spans="1:14" ht="15.75" hidden="1" customHeight="1" outlineLevel="1" x14ac:dyDescent="0.25">
      <c r="A74" s="14"/>
      <c r="B74" s="49" t="s">
        <v>86</v>
      </c>
      <c r="C74" s="14"/>
      <c r="D74" s="29">
        <f>Inputs!I19</f>
        <v>19620.000000000004</v>
      </c>
      <c r="E74" s="29">
        <f>Inputs!J19</f>
        <v>19620.000000000004</v>
      </c>
      <c r="F74" s="29">
        <f>Inputs!K19</f>
        <v>19620.000000000004</v>
      </c>
      <c r="G74" s="29">
        <f>Inputs!L19</f>
        <v>19620.000000000004</v>
      </c>
      <c r="H74" s="29">
        <f>Inputs!M19</f>
        <v>19620.000000000004</v>
      </c>
      <c r="I74" s="102">
        <f t="shared" ref="I74:I77" si="28">SUM(D74:H74)</f>
        <v>98100.000000000015</v>
      </c>
      <c r="J74" s="30"/>
      <c r="K74" s="82">
        <f t="shared" si="27"/>
        <v>0</v>
      </c>
      <c r="L74" s="82">
        <f t="shared" si="27"/>
        <v>0</v>
      </c>
      <c r="M74" s="82">
        <f t="shared" si="27"/>
        <v>0</v>
      </c>
      <c r="N74" s="82">
        <f t="shared" si="27"/>
        <v>0</v>
      </c>
    </row>
    <row r="75" spans="1:14" ht="15.75" hidden="1" customHeight="1" outlineLevel="1" x14ac:dyDescent="0.25">
      <c r="A75" s="14"/>
      <c r="B75" s="49" t="s">
        <v>117</v>
      </c>
      <c r="C75" s="14"/>
      <c r="D75" s="29">
        <f>Inputs!I20</f>
        <v>5232.0000000000009</v>
      </c>
      <c r="E75" s="29">
        <f>Inputs!J20</f>
        <v>5755.2000000000016</v>
      </c>
      <c r="F75" s="29">
        <f>Inputs!K20</f>
        <v>6330.7200000000021</v>
      </c>
      <c r="G75" s="29">
        <f>Inputs!L20</f>
        <v>6963.7920000000031</v>
      </c>
      <c r="H75" s="29">
        <f>Inputs!M20</f>
        <v>7660.1712000000043</v>
      </c>
      <c r="I75" s="102">
        <f t="shared" si="28"/>
        <v>31941.883200000011</v>
      </c>
      <c r="J75" s="30"/>
      <c r="K75" s="82">
        <f t="shared" si="27"/>
        <v>0.10000000000000009</v>
      </c>
      <c r="L75" s="82">
        <f t="shared" si="27"/>
        <v>0.10000000000000009</v>
      </c>
      <c r="M75" s="82">
        <f t="shared" si="27"/>
        <v>0.10000000000000009</v>
      </c>
      <c r="N75" s="82">
        <f t="shared" si="27"/>
        <v>0.10000000000000009</v>
      </c>
    </row>
    <row r="76" spans="1:14" ht="15.75" hidden="1" customHeight="1" outlineLevel="1" x14ac:dyDescent="0.25">
      <c r="A76" s="14"/>
      <c r="B76" s="49" t="s">
        <v>87</v>
      </c>
      <c r="C76" s="14"/>
      <c r="D76" s="29">
        <f>Inputs!I21</f>
        <v>1308.0000000000002</v>
      </c>
      <c r="E76" s="29">
        <f>Inputs!J21</f>
        <v>1438.8000000000004</v>
      </c>
      <c r="F76" s="29">
        <f>Inputs!K21</f>
        <v>1582.6800000000005</v>
      </c>
      <c r="G76" s="29">
        <f>Inputs!L21</f>
        <v>1740.9480000000008</v>
      </c>
      <c r="H76" s="29">
        <f>Inputs!M21</f>
        <v>1915.0428000000011</v>
      </c>
      <c r="I76" s="102">
        <f t="shared" si="28"/>
        <v>7985.4708000000028</v>
      </c>
      <c r="J76" s="30"/>
      <c r="K76" s="82">
        <f t="shared" si="27"/>
        <v>0.10000000000000009</v>
      </c>
      <c r="L76" s="82">
        <f t="shared" si="27"/>
        <v>0.10000000000000009</v>
      </c>
      <c r="M76" s="82">
        <f t="shared" si="27"/>
        <v>0.10000000000000009</v>
      </c>
      <c r="N76" s="82">
        <f t="shared" si="27"/>
        <v>0.10000000000000009</v>
      </c>
    </row>
    <row r="77" spans="1:14" ht="15.75" hidden="1" customHeight="1" outlineLevel="1" x14ac:dyDescent="0.25">
      <c r="A77" s="14"/>
      <c r="B77" s="48" t="s">
        <v>96</v>
      </c>
      <c r="C77" s="14"/>
      <c r="D77" s="29">
        <f>Inputs!I22</f>
        <v>2616.0000000000005</v>
      </c>
      <c r="E77" s="29">
        <f>Inputs!J22</f>
        <v>2746.8000000000006</v>
      </c>
      <c r="F77" s="29">
        <f>Inputs!K22</f>
        <v>2884.1400000000008</v>
      </c>
      <c r="G77" s="29">
        <f>Inputs!L22</f>
        <v>3028.3470000000011</v>
      </c>
      <c r="H77" s="29">
        <f>Inputs!M22</f>
        <v>3179.7643500000013</v>
      </c>
      <c r="I77" s="102">
        <f t="shared" si="28"/>
        <v>14455.051350000005</v>
      </c>
      <c r="J77" s="30"/>
      <c r="K77" s="82">
        <f t="shared" si="27"/>
        <v>5.0000000000000044E-2</v>
      </c>
      <c r="L77" s="82">
        <f t="shared" si="27"/>
        <v>5.0000000000000044E-2</v>
      </c>
      <c r="M77" s="82">
        <f t="shared" si="27"/>
        <v>5.0000000000000044E-2</v>
      </c>
      <c r="N77" s="82">
        <f t="shared" si="27"/>
        <v>5.0000000000000044E-2</v>
      </c>
    </row>
    <row r="78" spans="1:14" ht="15.75" customHeight="1" collapsed="1" x14ac:dyDescent="0.25">
      <c r="A78" s="14"/>
      <c r="D78" s="101">
        <f>+D73/D$101</f>
        <v>8.5078704305971128E-2</v>
      </c>
      <c r="E78" s="101">
        <f t="shared" ref="E78:I78" si="29">+E73/E$101</f>
        <v>7.4517852794419484E-2</v>
      </c>
      <c r="F78" s="101">
        <f t="shared" si="29"/>
        <v>6.7127861928933663E-2</v>
      </c>
      <c r="G78" s="101">
        <f t="shared" si="29"/>
        <v>5.830598378584699E-2</v>
      </c>
      <c r="H78" s="101">
        <f t="shared" si="29"/>
        <v>5.3396445286589218E-2</v>
      </c>
      <c r="I78" s="122">
        <f t="shared" si="29"/>
        <v>6.5384230869472537E-2</v>
      </c>
      <c r="J78" s="30"/>
      <c r="K78" s="14"/>
    </row>
    <row r="79" spans="1:14" ht="15.75" hidden="1" customHeight="1" outlineLevel="1" x14ac:dyDescent="0.25">
      <c r="A79" s="14"/>
      <c r="D79" s="101"/>
      <c r="E79" s="101"/>
      <c r="F79" s="101"/>
      <c r="G79" s="101"/>
      <c r="H79" s="101"/>
      <c r="I79" s="122"/>
      <c r="J79" s="30"/>
      <c r="K79" s="14"/>
    </row>
    <row r="80" spans="1:14" s="132" customFormat="1" ht="15.75" hidden="1" customHeight="1" outlineLevel="1" x14ac:dyDescent="0.25">
      <c r="A80" s="127"/>
      <c r="B80" s="128" t="s">
        <v>99</v>
      </c>
      <c r="C80" s="129">
        <f>SUM(C81:C89)</f>
        <v>6000</v>
      </c>
      <c r="D80" s="129">
        <f t="shared" ref="D80:H80" si="30">SUM(D81:D89)</f>
        <v>1500</v>
      </c>
      <c r="E80" s="129">
        <f t="shared" si="30"/>
        <v>5500</v>
      </c>
      <c r="F80" s="129">
        <f t="shared" si="30"/>
        <v>7500</v>
      </c>
      <c r="G80" s="129">
        <f t="shared" si="30"/>
        <v>9500</v>
      </c>
      <c r="H80" s="129">
        <f t="shared" si="30"/>
        <v>10500</v>
      </c>
      <c r="I80" s="129">
        <f>SUM(D80:H80)</f>
        <v>34500</v>
      </c>
      <c r="J80" s="130" t="s">
        <v>157</v>
      </c>
      <c r="K80" s="131">
        <f t="shared" ref="K80:N89" si="31">IFERROR(E80/D80-1,)</f>
        <v>2.6666666666666665</v>
      </c>
      <c r="L80" s="131">
        <f t="shared" si="31"/>
        <v>0.36363636363636354</v>
      </c>
      <c r="M80" s="131">
        <f t="shared" si="31"/>
        <v>0.26666666666666661</v>
      </c>
      <c r="N80" s="131">
        <f t="shared" si="31"/>
        <v>0.10526315789473695</v>
      </c>
    </row>
    <row r="81" spans="1:14" s="132" customFormat="1" ht="15.75" hidden="1" customHeight="1" outlineLevel="1" x14ac:dyDescent="0.25">
      <c r="A81" s="127"/>
      <c r="B81" s="133" t="s">
        <v>100</v>
      </c>
      <c r="C81" s="134">
        <v>500</v>
      </c>
      <c r="D81" s="134"/>
      <c r="E81" s="134"/>
      <c r="F81" s="134"/>
      <c r="G81" s="134"/>
      <c r="H81" s="134"/>
      <c r="I81" s="135">
        <f t="shared" ref="I81:I89" si="32">SUM(D81:H81)</f>
        <v>0</v>
      </c>
      <c r="J81" s="130" t="s">
        <v>157</v>
      </c>
      <c r="K81" s="131">
        <f t="shared" si="31"/>
        <v>0</v>
      </c>
      <c r="L81" s="131">
        <f t="shared" si="31"/>
        <v>0</v>
      </c>
      <c r="M81" s="131">
        <f t="shared" si="31"/>
        <v>0</v>
      </c>
      <c r="N81" s="131">
        <f t="shared" si="31"/>
        <v>0</v>
      </c>
    </row>
    <row r="82" spans="1:14" s="132" customFormat="1" ht="15.75" hidden="1" customHeight="1" outlineLevel="1" x14ac:dyDescent="0.25">
      <c r="A82" s="127"/>
      <c r="B82" s="133" t="s">
        <v>101</v>
      </c>
      <c r="C82" s="134">
        <v>1000</v>
      </c>
      <c r="D82" s="134"/>
      <c r="E82" s="134"/>
      <c r="F82" s="134"/>
      <c r="G82" s="134"/>
      <c r="H82" s="134"/>
      <c r="I82" s="135">
        <f t="shared" si="32"/>
        <v>0</v>
      </c>
      <c r="J82" s="130" t="s">
        <v>157</v>
      </c>
      <c r="K82" s="131">
        <f t="shared" si="31"/>
        <v>0</v>
      </c>
      <c r="L82" s="131">
        <f t="shared" si="31"/>
        <v>0</v>
      </c>
      <c r="M82" s="131">
        <f t="shared" si="31"/>
        <v>0</v>
      </c>
      <c r="N82" s="131">
        <f t="shared" si="31"/>
        <v>0</v>
      </c>
    </row>
    <row r="83" spans="1:14" s="132" customFormat="1" ht="15.75" hidden="1" customHeight="1" outlineLevel="1" x14ac:dyDescent="0.25">
      <c r="A83" s="127"/>
      <c r="B83" s="133" t="s">
        <v>125</v>
      </c>
      <c r="C83" s="134">
        <v>1000</v>
      </c>
      <c r="D83" s="134"/>
      <c r="E83" s="134"/>
      <c r="F83" s="134">
        <v>1000</v>
      </c>
      <c r="G83" s="134"/>
      <c r="H83" s="134">
        <v>1000</v>
      </c>
      <c r="I83" s="135">
        <f t="shared" si="32"/>
        <v>2000</v>
      </c>
      <c r="J83" s="130" t="s">
        <v>157</v>
      </c>
      <c r="K83" s="131">
        <f t="shared" si="31"/>
        <v>0</v>
      </c>
      <c r="L83" s="131">
        <f t="shared" si="31"/>
        <v>0</v>
      </c>
      <c r="M83" s="131">
        <f t="shared" si="31"/>
        <v>-1</v>
      </c>
      <c r="N83" s="131">
        <f t="shared" si="31"/>
        <v>0</v>
      </c>
    </row>
    <row r="84" spans="1:14" s="132" customFormat="1" ht="15.75" hidden="1" customHeight="1" outlineLevel="1" x14ac:dyDescent="0.25">
      <c r="A84" s="127"/>
      <c r="B84" s="133" t="s">
        <v>126</v>
      </c>
      <c r="C84" s="134"/>
      <c r="D84" s="134"/>
      <c r="E84" s="134">
        <v>1000</v>
      </c>
      <c r="F84" s="134"/>
      <c r="G84" s="134">
        <v>1000</v>
      </c>
      <c r="H84" s="134"/>
      <c r="I84" s="135">
        <f t="shared" si="32"/>
        <v>2000</v>
      </c>
      <c r="J84" s="130" t="s">
        <v>157</v>
      </c>
      <c r="K84" s="131">
        <f t="shared" si="31"/>
        <v>0</v>
      </c>
      <c r="L84" s="131">
        <f t="shared" si="31"/>
        <v>-1</v>
      </c>
      <c r="M84" s="131">
        <f t="shared" si="31"/>
        <v>0</v>
      </c>
      <c r="N84" s="131">
        <f t="shared" si="31"/>
        <v>-1</v>
      </c>
    </row>
    <row r="85" spans="1:14" s="132" customFormat="1" ht="15.75" hidden="1" customHeight="1" outlineLevel="1" x14ac:dyDescent="0.25">
      <c r="A85" s="127"/>
      <c r="B85" s="133" t="s">
        <v>127</v>
      </c>
      <c r="C85" s="134"/>
      <c r="D85" s="134"/>
      <c r="E85" s="134"/>
      <c r="F85" s="134"/>
      <c r="G85" s="134">
        <v>1000</v>
      </c>
      <c r="H85" s="134"/>
      <c r="I85" s="135">
        <f t="shared" si="32"/>
        <v>1000</v>
      </c>
      <c r="J85" s="130" t="s">
        <v>157</v>
      </c>
      <c r="K85" s="131">
        <f t="shared" si="31"/>
        <v>0</v>
      </c>
      <c r="L85" s="131">
        <f t="shared" si="31"/>
        <v>0</v>
      </c>
      <c r="M85" s="131">
        <f t="shared" si="31"/>
        <v>0</v>
      </c>
      <c r="N85" s="131">
        <f t="shared" si="31"/>
        <v>-1</v>
      </c>
    </row>
    <row r="86" spans="1:14" s="132" customFormat="1" ht="15.75" hidden="1" customHeight="1" outlineLevel="1" x14ac:dyDescent="0.25">
      <c r="A86" s="127"/>
      <c r="B86" s="133" t="s">
        <v>88</v>
      </c>
      <c r="C86" s="134">
        <v>500</v>
      </c>
      <c r="D86" s="134">
        <v>500</v>
      </c>
      <c r="E86" s="134">
        <v>500</v>
      </c>
      <c r="F86" s="134">
        <v>500</v>
      </c>
      <c r="G86" s="134">
        <v>500</v>
      </c>
      <c r="H86" s="134">
        <v>500</v>
      </c>
      <c r="I86" s="135">
        <f t="shared" si="32"/>
        <v>2500</v>
      </c>
      <c r="J86" s="130" t="s">
        <v>157</v>
      </c>
      <c r="K86" s="131">
        <f t="shared" si="31"/>
        <v>0</v>
      </c>
      <c r="L86" s="131">
        <f t="shared" si="31"/>
        <v>0</v>
      </c>
      <c r="M86" s="131">
        <f t="shared" si="31"/>
        <v>0</v>
      </c>
      <c r="N86" s="131">
        <f t="shared" si="31"/>
        <v>0</v>
      </c>
    </row>
    <row r="87" spans="1:14" s="132" customFormat="1" ht="15.75" hidden="1" customHeight="1" outlineLevel="1" x14ac:dyDescent="0.25">
      <c r="A87" s="127"/>
      <c r="B87" s="136" t="s">
        <v>105</v>
      </c>
      <c r="C87" s="134">
        <v>1000</v>
      </c>
      <c r="D87" s="134"/>
      <c r="E87" s="134"/>
      <c r="F87" s="134">
        <v>1000</v>
      </c>
      <c r="G87" s="134"/>
      <c r="H87" s="134"/>
      <c r="I87" s="135">
        <f t="shared" si="32"/>
        <v>1000</v>
      </c>
      <c r="J87" s="130" t="s">
        <v>157</v>
      </c>
      <c r="K87" s="131">
        <f t="shared" si="31"/>
        <v>0</v>
      </c>
      <c r="L87" s="131">
        <f t="shared" si="31"/>
        <v>0</v>
      </c>
      <c r="M87" s="131">
        <f t="shared" si="31"/>
        <v>-1</v>
      </c>
      <c r="N87" s="131">
        <f t="shared" si="31"/>
        <v>0</v>
      </c>
    </row>
    <row r="88" spans="1:14" s="132" customFormat="1" ht="15.75" hidden="1" customHeight="1" outlineLevel="1" x14ac:dyDescent="0.25">
      <c r="A88" s="127"/>
      <c r="B88" s="136" t="s">
        <v>106</v>
      </c>
      <c r="C88" s="134">
        <v>1000</v>
      </c>
      <c r="D88" s="134"/>
      <c r="E88" s="134"/>
      <c r="F88" s="134"/>
      <c r="G88" s="134"/>
      <c r="H88" s="134"/>
      <c r="I88" s="135">
        <f t="shared" si="32"/>
        <v>0</v>
      </c>
      <c r="J88" s="130" t="s">
        <v>157</v>
      </c>
      <c r="K88" s="131">
        <f t="shared" si="31"/>
        <v>0</v>
      </c>
      <c r="L88" s="131">
        <f t="shared" si="31"/>
        <v>0</v>
      </c>
      <c r="M88" s="131">
        <f t="shared" si="31"/>
        <v>0</v>
      </c>
      <c r="N88" s="131">
        <f t="shared" si="31"/>
        <v>0</v>
      </c>
    </row>
    <row r="89" spans="1:14" s="132" customFormat="1" ht="15.75" hidden="1" customHeight="1" outlineLevel="1" x14ac:dyDescent="0.25">
      <c r="A89" s="127"/>
      <c r="B89" s="136" t="s">
        <v>107</v>
      </c>
      <c r="C89" s="134">
        <v>1000</v>
      </c>
      <c r="D89" s="134">
        <v>1000</v>
      </c>
      <c r="E89" s="134">
        <v>4000</v>
      </c>
      <c r="F89" s="134">
        <v>5000</v>
      </c>
      <c r="G89" s="134">
        <v>7000</v>
      </c>
      <c r="H89" s="134">
        <v>9000</v>
      </c>
      <c r="I89" s="135">
        <f t="shared" si="32"/>
        <v>26000</v>
      </c>
      <c r="J89" s="130" t="s">
        <v>157</v>
      </c>
      <c r="K89" s="131">
        <f t="shared" si="31"/>
        <v>3</v>
      </c>
      <c r="L89" s="131">
        <f t="shared" si="31"/>
        <v>0.25</v>
      </c>
      <c r="M89" s="131">
        <f t="shared" si="31"/>
        <v>0.39999999999999991</v>
      </c>
      <c r="N89" s="131">
        <f t="shared" si="31"/>
        <v>0.28571428571428581</v>
      </c>
    </row>
    <row r="90" spans="1:14" ht="15.75" hidden="1" customHeight="1" outlineLevel="1" x14ac:dyDescent="0.25">
      <c r="A90" s="14"/>
      <c r="B90" s="30"/>
      <c r="C90" s="29"/>
      <c r="D90" s="101">
        <f>+D80/D$101</f>
        <v>4.4348782478091705E-3</v>
      </c>
      <c r="E90" s="101">
        <f>+E80/E$101</f>
        <v>1.3864583853255227E-2</v>
      </c>
      <c r="F90" s="101">
        <f>+F80/F$101</f>
        <v>1.6551600309130929E-2</v>
      </c>
      <c r="G90" s="101">
        <f>+G80/G$101</f>
        <v>1.766674031062862E-2</v>
      </c>
      <c r="H90" s="101">
        <f>+H80/H$101</f>
        <v>1.7317777619739679E-2</v>
      </c>
      <c r="I90" s="122"/>
      <c r="J90" s="30"/>
      <c r="K90" s="14"/>
    </row>
    <row r="91" spans="1:14" s="86" customFormat="1" ht="15.75" customHeight="1" collapsed="1" x14ac:dyDescent="0.25">
      <c r="A91" s="36"/>
      <c r="B91" s="76" t="s">
        <v>129</v>
      </c>
      <c r="C91" s="76"/>
      <c r="D91" s="84">
        <f>SUM(D92:D99)</f>
        <v>1200</v>
      </c>
      <c r="E91" s="84">
        <f t="shared" ref="E91:H91" si="33">SUM(E92:E99)</f>
        <v>1700</v>
      </c>
      <c r="F91" s="84">
        <f t="shared" si="33"/>
        <v>1900</v>
      </c>
      <c r="G91" s="84">
        <f t="shared" si="33"/>
        <v>2400</v>
      </c>
      <c r="H91" s="84">
        <f t="shared" si="33"/>
        <v>2400</v>
      </c>
      <c r="I91" s="84">
        <f>SUM(D91:H91)</f>
        <v>9600</v>
      </c>
      <c r="J91" s="37"/>
      <c r="K91" s="85">
        <f t="shared" ref="K91:N91" si="34">IFERROR(E91/D91-1,)</f>
        <v>0.41666666666666674</v>
      </c>
      <c r="L91" s="85">
        <f t="shared" si="34"/>
        <v>0.11764705882352944</v>
      </c>
      <c r="M91" s="85">
        <f t="shared" si="34"/>
        <v>0.26315789473684204</v>
      </c>
      <c r="N91" s="85">
        <f t="shared" si="34"/>
        <v>0</v>
      </c>
    </row>
    <row r="92" spans="1:14" s="86" customFormat="1" ht="15.75" hidden="1" customHeight="1" outlineLevel="1" x14ac:dyDescent="0.25">
      <c r="A92" s="36"/>
      <c r="B92" s="87" t="s">
        <v>100</v>
      </c>
      <c r="C92" s="88">
        <v>0.2</v>
      </c>
      <c r="D92" s="89">
        <f>+$C81*$C92</f>
        <v>100</v>
      </c>
      <c r="E92" s="89">
        <f t="shared" ref="E92:H94" si="35">+$C81*$C92</f>
        <v>100</v>
      </c>
      <c r="F92" s="89">
        <f t="shared" si="35"/>
        <v>100</v>
      </c>
      <c r="G92" s="89">
        <f t="shared" si="35"/>
        <v>100</v>
      </c>
      <c r="H92" s="89">
        <f t="shared" si="35"/>
        <v>100</v>
      </c>
      <c r="I92" s="123">
        <f t="shared" ref="I92:I99" si="36">SUM(D92:H92)</f>
        <v>500</v>
      </c>
      <c r="J92" s="98"/>
      <c r="K92" s="36"/>
    </row>
    <row r="93" spans="1:14" s="86" customFormat="1" ht="15.75" hidden="1" customHeight="1" outlineLevel="1" x14ac:dyDescent="0.25">
      <c r="A93" s="38"/>
      <c r="B93" s="87" t="s">
        <v>101</v>
      </c>
      <c r="C93" s="88">
        <v>0.2</v>
      </c>
      <c r="D93" s="89">
        <f>+$C82*$C93</f>
        <v>200</v>
      </c>
      <c r="E93" s="89">
        <f t="shared" si="35"/>
        <v>200</v>
      </c>
      <c r="F93" s="89">
        <f t="shared" si="35"/>
        <v>200</v>
      </c>
      <c r="G93" s="89">
        <f t="shared" si="35"/>
        <v>200</v>
      </c>
      <c r="H93" s="89">
        <f t="shared" si="35"/>
        <v>200</v>
      </c>
      <c r="I93" s="123">
        <f t="shared" si="36"/>
        <v>1000</v>
      </c>
      <c r="J93" s="92"/>
      <c r="K93" s="38"/>
    </row>
    <row r="94" spans="1:14" s="86" customFormat="1" ht="15.75" hidden="1" customHeight="1" outlineLevel="1" x14ac:dyDescent="0.25">
      <c r="A94" s="38"/>
      <c r="B94" s="87" t="s">
        <v>125</v>
      </c>
      <c r="C94" s="88">
        <v>0.5</v>
      </c>
      <c r="D94" s="89">
        <f>+$C83*$C94</f>
        <v>500</v>
      </c>
      <c r="E94" s="89">
        <f t="shared" si="35"/>
        <v>500</v>
      </c>
      <c r="F94" s="89">
        <f t="shared" si="35"/>
        <v>500</v>
      </c>
      <c r="G94" s="89">
        <f t="shared" si="35"/>
        <v>500</v>
      </c>
      <c r="H94" s="89">
        <f t="shared" si="35"/>
        <v>500</v>
      </c>
      <c r="I94" s="123">
        <f t="shared" si="36"/>
        <v>2500</v>
      </c>
      <c r="J94" s="92"/>
      <c r="K94" s="38"/>
    </row>
    <row r="95" spans="1:14" s="86" customFormat="1" ht="15.75" hidden="1" customHeight="1" outlineLevel="1" x14ac:dyDescent="0.25">
      <c r="A95" s="38"/>
      <c r="B95" s="87" t="s">
        <v>126</v>
      </c>
      <c r="C95" s="88">
        <v>0.5</v>
      </c>
      <c r="D95" s="89"/>
      <c r="E95" s="89">
        <f>+$C83*$C95</f>
        <v>500</v>
      </c>
      <c r="F95" s="89">
        <f t="shared" ref="F95:H95" si="37">+$C83*$C95</f>
        <v>500</v>
      </c>
      <c r="G95" s="89">
        <f t="shared" si="37"/>
        <v>500</v>
      </c>
      <c r="H95" s="89">
        <f t="shared" si="37"/>
        <v>500</v>
      </c>
      <c r="I95" s="123">
        <f t="shared" si="36"/>
        <v>2000</v>
      </c>
      <c r="J95" s="92"/>
      <c r="K95" s="38"/>
    </row>
    <row r="96" spans="1:14" s="86" customFormat="1" ht="15.75" hidden="1" customHeight="1" outlineLevel="1" x14ac:dyDescent="0.25">
      <c r="A96" s="38"/>
      <c r="B96" s="87" t="s">
        <v>127</v>
      </c>
      <c r="C96" s="88">
        <v>0.5</v>
      </c>
      <c r="D96" s="89"/>
      <c r="E96" s="89"/>
      <c r="F96" s="89"/>
      <c r="G96" s="89">
        <f>+$C83*$C96</f>
        <v>500</v>
      </c>
      <c r="H96" s="89">
        <f>+$C83*$C96</f>
        <v>500</v>
      </c>
      <c r="I96" s="123">
        <f t="shared" si="36"/>
        <v>1000</v>
      </c>
      <c r="J96" s="92"/>
      <c r="K96" s="38"/>
    </row>
    <row r="97" spans="1:14" s="86" customFormat="1" ht="15.75" hidden="1" customHeight="1" outlineLevel="1" x14ac:dyDescent="0.25">
      <c r="A97" s="38"/>
      <c r="B97" s="90" t="s">
        <v>131</v>
      </c>
      <c r="C97" s="88">
        <v>0.2</v>
      </c>
      <c r="D97" s="89">
        <f>+$C87*$C97</f>
        <v>200</v>
      </c>
      <c r="E97" s="89">
        <f t="shared" ref="E97:H97" si="38">+$C87*$C97</f>
        <v>200</v>
      </c>
      <c r="F97" s="89">
        <f t="shared" si="38"/>
        <v>200</v>
      </c>
      <c r="G97" s="89">
        <f t="shared" si="38"/>
        <v>200</v>
      </c>
      <c r="H97" s="89">
        <f t="shared" si="38"/>
        <v>200</v>
      </c>
      <c r="I97" s="123">
        <f t="shared" si="36"/>
        <v>1000</v>
      </c>
      <c r="J97" s="92"/>
      <c r="K97" s="38"/>
    </row>
    <row r="98" spans="1:14" s="86" customFormat="1" ht="15.75" hidden="1" customHeight="1" outlineLevel="1" x14ac:dyDescent="0.25">
      <c r="A98" s="38"/>
      <c r="B98" s="90" t="s">
        <v>132</v>
      </c>
      <c r="C98" s="88">
        <v>0.2</v>
      </c>
      <c r="D98" s="89"/>
      <c r="E98" s="89"/>
      <c r="F98" s="89">
        <f>+$C87*$C98</f>
        <v>200</v>
      </c>
      <c r="G98" s="89">
        <f t="shared" ref="G98:H98" si="39">+$C87*$C98</f>
        <v>200</v>
      </c>
      <c r="H98" s="89">
        <f t="shared" si="39"/>
        <v>200</v>
      </c>
      <c r="I98" s="123">
        <f t="shared" si="36"/>
        <v>600</v>
      </c>
      <c r="J98" s="40"/>
      <c r="K98" s="38"/>
    </row>
    <row r="99" spans="1:14" s="86" customFormat="1" ht="15.75" hidden="1" customHeight="1" outlineLevel="1" x14ac:dyDescent="0.25">
      <c r="A99" s="38"/>
      <c r="B99" s="90" t="s">
        <v>106</v>
      </c>
      <c r="C99" s="88">
        <v>0.2</v>
      </c>
      <c r="D99" s="89">
        <f>+$C89*$C99</f>
        <v>200</v>
      </c>
      <c r="E99" s="89">
        <f t="shared" ref="E99:H99" si="40">+$C89*$C99</f>
        <v>200</v>
      </c>
      <c r="F99" s="89">
        <f t="shared" si="40"/>
        <v>200</v>
      </c>
      <c r="G99" s="89">
        <f t="shared" si="40"/>
        <v>200</v>
      </c>
      <c r="H99" s="89">
        <f t="shared" si="40"/>
        <v>200</v>
      </c>
      <c r="I99" s="123">
        <f t="shared" si="36"/>
        <v>1000</v>
      </c>
      <c r="J99" s="40"/>
      <c r="K99" s="38"/>
    </row>
    <row r="100" spans="1:14" ht="15.75" customHeight="1" collapsed="1" x14ac:dyDescent="0.25">
      <c r="A100" s="38"/>
      <c r="B100" s="48"/>
      <c r="C100" s="72"/>
      <c r="D100" s="101">
        <f>+D91/D$101</f>
        <v>3.5479025982473361E-3</v>
      </c>
      <c r="E100" s="101">
        <f t="shared" ref="E100:I100" si="41">+E91/E$101</f>
        <v>4.2854168273697979E-3</v>
      </c>
      <c r="F100" s="101">
        <f t="shared" si="41"/>
        <v>4.1930720783131693E-3</v>
      </c>
      <c r="G100" s="101">
        <f t="shared" si="41"/>
        <v>4.4631764995272305E-3</v>
      </c>
      <c r="H100" s="101">
        <f t="shared" si="41"/>
        <v>3.9583491702262124E-3</v>
      </c>
      <c r="I100" s="122">
        <f t="shared" si="41"/>
        <v>4.1164658631018649E-3</v>
      </c>
      <c r="J100" s="40"/>
      <c r="K100" s="38"/>
    </row>
    <row r="101" spans="1:14" ht="15.75" customHeight="1" x14ac:dyDescent="0.25">
      <c r="A101" s="38"/>
      <c r="B101" s="21" t="s">
        <v>39</v>
      </c>
      <c r="C101" s="39"/>
      <c r="D101" s="39">
        <f>D45+D58+D70+D73+D91</f>
        <v>338228</v>
      </c>
      <c r="E101" s="39">
        <f t="shared" ref="E101:H101" si="42">E45+E58+E70+E73+E91</f>
        <v>396694.2</v>
      </c>
      <c r="F101" s="39">
        <f t="shared" si="42"/>
        <v>453128.38999999996</v>
      </c>
      <c r="G101" s="39">
        <f t="shared" si="42"/>
        <v>537733.60750000004</v>
      </c>
      <c r="H101" s="39">
        <f t="shared" si="42"/>
        <v>606313.36367500003</v>
      </c>
      <c r="I101" s="75">
        <f>SUM(D101:H101)</f>
        <v>2332097.5611749999</v>
      </c>
      <c r="J101" s="40"/>
      <c r="K101" s="82">
        <f t="shared" ref="K101:N101" si="43">IFERROR(E101/D101-1,)</f>
        <v>0.17286031907470711</v>
      </c>
      <c r="L101" s="82">
        <f t="shared" si="43"/>
        <v>0.1422611926264612</v>
      </c>
      <c r="M101" s="82">
        <f t="shared" si="43"/>
        <v>0.1867135658836121</v>
      </c>
      <c r="N101" s="82">
        <f t="shared" si="43"/>
        <v>0.127534815043153</v>
      </c>
    </row>
    <row r="102" spans="1:14" ht="15.75" customHeight="1" x14ac:dyDescent="0.25">
      <c r="A102" s="36"/>
      <c r="B102" s="37"/>
      <c r="C102" s="36"/>
      <c r="D102" s="91"/>
      <c r="E102" s="36"/>
      <c r="F102" s="36"/>
      <c r="G102" s="36"/>
      <c r="H102" s="36"/>
      <c r="I102" s="103"/>
      <c r="J102" s="37"/>
      <c r="K102" s="36"/>
    </row>
    <row r="103" spans="1:14" ht="15.75" customHeight="1" x14ac:dyDescent="0.25">
      <c r="A103" s="14"/>
      <c r="B103" s="26" t="s">
        <v>38</v>
      </c>
      <c r="C103" s="26"/>
      <c r="D103" s="25">
        <f>D39-D101</f>
        <v>-81994.75</v>
      </c>
      <c r="E103" s="25">
        <f>E39-E101</f>
        <v>121440.29999999999</v>
      </c>
      <c r="F103" s="25">
        <f>F39-F101</f>
        <v>201624.73500000004</v>
      </c>
      <c r="G103" s="25">
        <f>G39-G101</f>
        <v>370714.3550000001</v>
      </c>
      <c r="H103" s="25">
        <f>H39-H101</f>
        <v>677652.59882500011</v>
      </c>
      <c r="I103" s="25">
        <f>SUM(D103:H103)</f>
        <v>1289437.2388250004</v>
      </c>
      <c r="J103" s="30"/>
      <c r="K103" s="14"/>
    </row>
    <row r="104" spans="1:14" ht="15.75" customHeight="1" x14ac:dyDescent="0.25">
      <c r="A104" s="14"/>
      <c r="B104" s="30" t="s">
        <v>156</v>
      </c>
      <c r="C104" s="15"/>
      <c r="D104" s="29">
        <f>D103*0.25</f>
        <v>-20498.6875</v>
      </c>
      <c r="E104" s="29">
        <f t="shared" ref="E104:H104" si="44">E103*0.25</f>
        <v>30360.074999999997</v>
      </c>
      <c r="F104" s="29">
        <f t="shared" si="44"/>
        <v>50406.183750000011</v>
      </c>
      <c r="G104" s="29">
        <f t="shared" si="44"/>
        <v>92678.588750000024</v>
      </c>
      <c r="H104" s="29">
        <f t="shared" si="44"/>
        <v>169413.14970625003</v>
      </c>
      <c r="I104" s="35">
        <f>SUM(D104:H104)</f>
        <v>322359.30970625009</v>
      </c>
      <c r="J104" s="30"/>
      <c r="K104" s="14"/>
    </row>
    <row r="105" spans="1:14" ht="15.75" customHeight="1" x14ac:dyDescent="0.25">
      <c r="A105" s="14"/>
      <c r="B105" s="26" t="s">
        <v>37</v>
      </c>
      <c r="C105" s="26"/>
      <c r="D105" s="25">
        <f>D103-D104</f>
        <v>-61496.0625</v>
      </c>
      <c r="E105" s="25">
        <f>E103-E104</f>
        <v>91080.224999999991</v>
      </c>
      <c r="F105" s="25">
        <f>F103-F104</f>
        <v>151218.55125000002</v>
      </c>
      <c r="G105" s="25">
        <f>G103-G104</f>
        <v>278035.7662500001</v>
      </c>
      <c r="H105" s="25">
        <f>H103-H104</f>
        <v>508239.44911875005</v>
      </c>
      <c r="I105" s="25">
        <f>SUM(D105:H105)</f>
        <v>967077.92911875015</v>
      </c>
      <c r="J105" s="30"/>
      <c r="K105" s="14"/>
    </row>
    <row r="106" spans="1:14" ht="15.75" customHeight="1" x14ac:dyDescent="0.25">
      <c r="A106" s="14"/>
      <c r="B106" s="28"/>
      <c r="C106" s="15"/>
      <c r="D106" s="15"/>
      <c r="E106" s="15"/>
      <c r="F106" s="15"/>
      <c r="G106" s="15"/>
      <c r="H106" s="15"/>
      <c r="I106" s="15"/>
      <c r="J106" s="30"/>
      <c r="K106" s="14"/>
    </row>
    <row r="107" spans="1:14" ht="15.75" customHeight="1" x14ac:dyDescent="0.25">
      <c r="A107" s="14"/>
      <c r="B107" s="26" t="s">
        <v>28</v>
      </c>
      <c r="C107" s="26"/>
      <c r="D107" s="25">
        <f>D103+D91</f>
        <v>-80794.75</v>
      </c>
      <c r="E107" s="25">
        <f t="shared" ref="E107:H107" si="45">E103+E91</f>
        <v>123140.29999999999</v>
      </c>
      <c r="F107" s="25">
        <f t="shared" si="45"/>
        <v>203524.73500000004</v>
      </c>
      <c r="G107" s="25">
        <f t="shared" si="45"/>
        <v>373114.3550000001</v>
      </c>
      <c r="H107" s="25">
        <f t="shared" si="45"/>
        <v>680052.59882500011</v>
      </c>
      <c r="I107" s="25">
        <f>SUM(D107:H107)</f>
        <v>1299037.2388250004</v>
      </c>
      <c r="J107" s="30"/>
      <c r="K107" s="14"/>
    </row>
    <row r="108" spans="1:14" ht="15.75" customHeight="1" x14ac:dyDescent="0.25">
      <c r="A108" s="14"/>
      <c r="B108" s="28" t="s">
        <v>36</v>
      </c>
      <c r="C108" s="15"/>
      <c r="D108" s="34">
        <f t="shared" ref="D108:I108" si="46">D107/D27</f>
        <v>-0.25755254987217169</v>
      </c>
      <c r="E108" s="34">
        <f t="shared" si="46"/>
        <v>0.19451231455505849</v>
      </c>
      <c r="F108" s="34">
        <f t="shared" si="46"/>
        <v>0.25490776841907509</v>
      </c>
      <c r="G108" s="34">
        <f t="shared" si="46"/>
        <v>0.33713675555991085</v>
      </c>
      <c r="H108" s="34">
        <f t="shared" si="46"/>
        <v>0.43518091235852757</v>
      </c>
      <c r="I108" s="34">
        <f t="shared" si="46"/>
        <v>0.29425909350908763</v>
      </c>
      <c r="K108" s="30"/>
      <c r="L108" s="14"/>
    </row>
    <row r="109" spans="1:14" ht="15.75" customHeight="1" x14ac:dyDescent="0.25">
      <c r="A109" s="14"/>
      <c r="B109" s="28"/>
      <c r="C109" s="15"/>
      <c r="D109" s="15"/>
      <c r="E109" s="15"/>
      <c r="F109" s="15"/>
      <c r="G109" s="15"/>
      <c r="H109" s="15"/>
      <c r="I109" s="15"/>
      <c r="J109" s="30"/>
      <c r="K109" s="14"/>
    </row>
    <row r="110" spans="1:14" ht="15.75" customHeight="1" x14ac:dyDescent="0.25">
      <c r="A110" s="14"/>
      <c r="B110" s="21" t="s">
        <v>34</v>
      </c>
      <c r="C110" s="20"/>
      <c r="D110" s="20" t="s">
        <v>33</v>
      </c>
      <c r="E110" s="20" t="s">
        <v>32</v>
      </c>
      <c r="F110" s="20" t="s">
        <v>31</v>
      </c>
      <c r="G110" s="20" t="s">
        <v>30</v>
      </c>
      <c r="H110" s="20" t="s">
        <v>29</v>
      </c>
      <c r="I110" s="20" t="s">
        <v>35</v>
      </c>
      <c r="J110" s="30"/>
      <c r="K110" s="14"/>
    </row>
    <row r="111" spans="1:14" ht="15.75" customHeight="1" x14ac:dyDescent="0.25">
      <c r="A111" s="14"/>
      <c r="B111" s="28"/>
      <c r="C111" s="15"/>
      <c r="D111" s="15"/>
      <c r="E111" s="15"/>
      <c r="F111" s="15"/>
      <c r="G111" s="15"/>
      <c r="H111" s="15"/>
      <c r="I111" s="15"/>
    </row>
    <row r="112" spans="1:14" ht="15.75" customHeight="1" x14ac:dyDescent="0.25">
      <c r="A112" s="14"/>
      <c r="B112" s="26" t="s">
        <v>28</v>
      </c>
      <c r="C112" s="26"/>
      <c r="D112" s="25">
        <f>D103+D91</f>
        <v>-80794.75</v>
      </c>
      <c r="E112" s="25">
        <f t="shared" ref="E112:H112" si="47">E103+E91</f>
        <v>123140.29999999999</v>
      </c>
      <c r="F112" s="25">
        <f t="shared" si="47"/>
        <v>203524.73500000004</v>
      </c>
      <c r="G112" s="25">
        <f t="shared" si="47"/>
        <v>373114.3550000001</v>
      </c>
      <c r="H112" s="25">
        <f t="shared" si="47"/>
        <v>680052.59882500011</v>
      </c>
      <c r="I112" s="25">
        <f>SUM(D112:H112)</f>
        <v>1299037.2388250004</v>
      </c>
      <c r="K112" s="30" t="s">
        <v>142</v>
      </c>
    </row>
    <row r="113" spans="1:11" ht="15.75" customHeight="1" x14ac:dyDescent="0.25">
      <c r="A113" s="14"/>
      <c r="B113" s="30" t="s">
        <v>27</v>
      </c>
      <c r="C113" s="15"/>
      <c r="D113" s="29">
        <f>-D103*0.25</f>
        <v>20498.6875</v>
      </c>
      <c r="E113" s="29">
        <f t="shared" ref="E113:H113" si="48">-E103*0.25</f>
        <v>-30360.074999999997</v>
      </c>
      <c r="F113" s="29">
        <f t="shared" si="48"/>
        <v>-50406.183750000011</v>
      </c>
      <c r="G113" s="29">
        <f t="shared" si="48"/>
        <v>-92678.588750000024</v>
      </c>
      <c r="H113" s="29">
        <f t="shared" si="48"/>
        <v>-169413.14970625003</v>
      </c>
      <c r="I113" s="29">
        <f>SUM(D113:H113)</f>
        <v>-322359.30970625009</v>
      </c>
      <c r="K113" s="30" t="s">
        <v>143</v>
      </c>
    </row>
    <row r="114" spans="1:11" ht="15.75" customHeight="1" x14ac:dyDescent="0.25">
      <c r="A114" s="14"/>
      <c r="B114" s="30" t="s">
        <v>26</v>
      </c>
      <c r="C114" s="15"/>
      <c r="D114" s="29"/>
      <c r="E114" s="29"/>
      <c r="F114" s="29"/>
      <c r="G114" s="29"/>
      <c r="H114" s="29"/>
      <c r="I114" s="29">
        <f>SUM(D114:H114)</f>
        <v>0</v>
      </c>
      <c r="K114" s="96"/>
    </row>
    <row r="115" spans="1:11" ht="15.75" hidden="1" customHeight="1" x14ac:dyDescent="0.2">
      <c r="A115" s="31"/>
      <c r="B115" s="33" t="s">
        <v>25</v>
      </c>
      <c r="C115" s="31"/>
      <c r="D115" s="32"/>
      <c r="E115" s="32"/>
      <c r="F115" s="32"/>
      <c r="G115" s="32"/>
      <c r="H115" s="32"/>
      <c r="I115" s="32"/>
      <c r="K115" s="99"/>
    </row>
    <row r="116" spans="1:11" ht="15.75" customHeight="1" x14ac:dyDescent="0.25">
      <c r="A116" s="14"/>
      <c r="B116" s="30" t="s">
        <v>24</v>
      </c>
      <c r="C116" s="15"/>
      <c r="D116" s="29">
        <f>-D80</f>
        <v>-1500</v>
      </c>
      <c r="E116" s="29">
        <f t="shared" ref="E116:H116" si="49">-E80</f>
        <v>-5500</v>
      </c>
      <c r="F116" s="29">
        <f t="shared" si="49"/>
        <v>-7500</v>
      </c>
      <c r="G116" s="29">
        <f t="shared" si="49"/>
        <v>-9500</v>
      </c>
      <c r="H116" s="29">
        <f t="shared" si="49"/>
        <v>-10500</v>
      </c>
      <c r="I116" s="29">
        <f>SUM(D116:H116)</f>
        <v>-34500</v>
      </c>
      <c r="K116" s="100"/>
    </row>
    <row r="117" spans="1:11" ht="15.75" customHeight="1" x14ac:dyDescent="0.25">
      <c r="A117" s="14"/>
      <c r="B117" s="26" t="s">
        <v>23</v>
      </c>
      <c r="C117" s="25">
        <f>-C80-40000</f>
        <v>-46000</v>
      </c>
      <c r="D117" s="25">
        <f>D112+D113+D114+D116</f>
        <v>-61796.0625</v>
      </c>
      <c r="E117" s="25">
        <f t="shared" ref="E117:H117" si="50">E112+E113+E114+E116</f>
        <v>87280.224999999991</v>
      </c>
      <c r="F117" s="25">
        <f t="shared" si="50"/>
        <v>145618.55125000002</v>
      </c>
      <c r="G117" s="25">
        <f t="shared" si="50"/>
        <v>270935.7662500001</v>
      </c>
      <c r="H117" s="25">
        <f t="shared" si="50"/>
        <v>500139.44911875005</v>
      </c>
      <c r="I117" s="25">
        <f>SUM(D117:H117)</f>
        <v>942177.92911875015</v>
      </c>
      <c r="K117" s="30"/>
    </row>
    <row r="118" spans="1:11" ht="15.75" customHeight="1" x14ac:dyDescent="0.25">
      <c r="A118" s="14"/>
      <c r="B118" s="28" t="s">
        <v>22</v>
      </c>
      <c r="C118" s="15"/>
      <c r="D118" s="15"/>
      <c r="E118" s="15"/>
      <c r="F118" s="15"/>
      <c r="G118" s="15"/>
      <c r="H118" s="22">
        <f>((H117*1.1)/(D$125-D$126))*0</f>
        <v>0</v>
      </c>
      <c r="I118" s="15"/>
      <c r="K118" s="30" t="s">
        <v>139</v>
      </c>
    </row>
    <row r="119" spans="1:11" ht="15.75" customHeight="1" x14ac:dyDescent="0.25">
      <c r="A119" s="14"/>
      <c r="B119" s="26" t="s">
        <v>21</v>
      </c>
      <c r="C119" s="25">
        <f>C117</f>
        <v>-46000</v>
      </c>
      <c r="D119" s="24">
        <f>D117</f>
        <v>-61796.0625</v>
      </c>
      <c r="E119" s="24">
        <f>E117</f>
        <v>87280.224999999991</v>
      </c>
      <c r="F119" s="24">
        <f>F117</f>
        <v>145618.55125000002</v>
      </c>
      <c r="G119" s="24">
        <f>G117</f>
        <v>270935.7662500001</v>
      </c>
      <c r="H119" s="24">
        <f>H117+H118</f>
        <v>500139.44911875005</v>
      </c>
      <c r="I119" s="15"/>
      <c r="K119" s="30"/>
    </row>
    <row r="120" spans="1:11" ht="15.75" customHeight="1" x14ac:dyDescent="0.25">
      <c r="A120" s="14"/>
      <c r="B120" s="15"/>
      <c r="C120" s="15"/>
      <c r="D120" s="15"/>
      <c r="E120" s="22"/>
      <c r="F120" s="22"/>
      <c r="G120" s="22"/>
      <c r="H120" s="22"/>
      <c r="I120" s="15"/>
      <c r="K120" s="30"/>
    </row>
    <row r="121" spans="1:11" ht="15.75" customHeight="1" x14ac:dyDescent="0.25">
      <c r="A121" s="14"/>
      <c r="B121" s="26" t="s">
        <v>20</v>
      </c>
      <c r="C121" s="25">
        <f>C119</f>
        <v>-46000</v>
      </c>
      <c r="D121" s="24">
        <f>D119/(1+$D$125)^1</f>
        <v>-53735.706521739135</v>
      </c>
      <c r="E121" s="24">
        <f>E119/(1+$D$125)^2</f>
        <v>65996.389413988669</v>
      </c>
      <c r="F121" s="24">
        <f>F119/(1+$D$125)^3</f>
        <v>95746.561190104418</v>
      </c>
      <c r="G121" s="24">
        <f>G119/(1+$D$125)^4</f>
        <v>154908.40370067299</v>
      </c>
      <c r="H121" s="24">
        <f>H119/(1+$D$125)^5</f>
        <v>248657.69850674531</v>
      </c>
      <c r="I121" s="15"/>
      <c r="J121" s="30"/>
      <c r="K121" s="14"/>
    </row>
    <row r="122" spans="1:11" ht="15.75" customHeight="1" x14ac:dyDescent="0.25">
      <c r="A122" s="14"/>
      <c r="B122" s="15"/>
      <c r="C122" s="23"/>
      <c r="D122" s="23"/>
      <c r="E122" s="23"/>
      <c r="F122" s="23"/>
      <c r="G122" s="23"/>
      <c r="H122" s="23"/>
      <c r="I122" s="22"/>
      <c r="J122" s="30"/>
      <c r="K122" s="14"/>
    </row>
    <row r="123" spans="1:11" ht="15.75" customHeight="1" x14ac:dyDescent="0.25">
      <c r="A123" s="14"/>
      <c r="B123" s="21" t="s">
        <v>19</v>
      </c>
      <c r="C123" s="20"/>
      <c r="D123" s="20"/>
      <c r="E123" s="20"/>
      <c r="F123" s="20"/>
      <c r="G123" s="20"/>
      <c r="H123" s="19">
        <f t="array" ref="H123">NPV(D125,D119:H119)+C119</f>
        <v>465573.34628977231</v>
      </c>
      <c r="I123" s="15"/>
      <c r="J123" s="30"/>
      <c r="K123" s="14"/>
    </row>
    <row r="124" spans="1:11" ht="15.75" customHeight="1" x14ac:dyDescent="0.25">
      <c r="A124" s="14"/>
      <c r="B124" s="15"/>
      <c r="C124" s="15"/>
      <c r="D124" s="15"/>
      <c r="E124" s="15"/>
      <c r="F124" s="15"/>
      <c r="G124" s="15"/>
      <c r="H124" s="104">
        <f>SUM(C121:H121)-H123</f>
        <v>0</v>
      </c>
      <c r="I124" s="15"/>
      <c r="J124" s="30"/>
      <c r="K124" s="14"/>
    </row>
    <row r="125" spans="1:11" ht="15.75" customHeight="1" x14ac:dyDescent="0.25">
      <c r="A125" s="14"/>
      <c r="B125" s="11" t="s">
        <v>18</v>
      </c>
      <c r="C125" s="17"/>
      <c r="D125" s="12">
        <f>'[1]Flujos_x segmento_x mes Año 1'!P171</f>
        <v>0.15</v>
      </c>
      <c r="F125" s="15"/>
      <c r="G125" s="15"/>
      <c r="H125" s="18"/>
      <c r="I125" s="15"/>
      <c r="J125" s="30"/>
      <c r="K125" s="28"/>
    </row>
    <row r="126" spans="1:11" ht="15.75" customHeight="1" x14ac:dyDescent="0.25">
      <c r="A126" s="14"/>
      <c r="B126" s="11" t="s">
        <v>17</v>
      </c>
      <c r="C126" s="17"/>
      <c r="D126" s="12">
        <f>'[1]Flujos_x segmento_x mes Año 1'!P172</f>
        <v>0.02</v>
      </c>
      <c r="E126" s="6" t="s">
        <v>155</v>
      </c>
      <c r="F126" s="15"/>
      <c r="G126" s="15"/>
      <c r="H126" s="16"/>
      <c r="I126" s="15"/>
      <c r="J126" s="30"/>
      <c r="K126" s="15"/>
    </row>
    <row r="127" spans="1:11" ht="15.75" customHeight="1" x14ac:dyDescent="0.25">
      <c r="B127" s="11" t="s">
        <v>16</v>
      </c>
      <c r="C127" s="13"/>
      <c r="D127" s="12">
        <f>IRR(C119:H119,0)</f>
        <v>0.96152605800622415</v>
      </c>
    </row>
    <row r="128" spans="1:11" ht="15.75" customHeight="1" x14ac:dyDescent="0.25">
      <c r="B128" s="11"/>
      <c r="C128" s="11"/>
      <c r="D128" s="10"/>
    </row>
    <row r="129" spans="2:10" ht="15.75" customHeight="1" x14ac:dyDescent="0.2"/>
    <row r="130" spans="2:10" ht="15.75" customHeight="1" x14ac:dyDescent="0.25">
      <c r="B130" s="8" t="s">
        <v>15</v>
      </c>
      <c r="C130" s="9"/>
      <c r="D130" s="9"/>
      <c r="E130" s="9"/>
      <c r="F130" s="9"/>
      <c r="G130" s="9"/>
      <c r="H130" s="7">
        <f>-C121/H123</f>
        <v>9.8802906924507772E-2</v>
      </c>
      <c r="J130" s="6"/>
    </row>
    <row r="131" spans="2:10" ht="15.75" customHeight="1" x14ac:dyDescent="0.2">
      <c r="J131" s="6"/>
    </row>
    <row r="132" spans="2:10" ht="15.75" customHeight="1" x14ac:dyDescent="0.2">
      <c r="C132" s="65"/>
      <c r="D132" s="65"/>
      <c r="E132" s="65"/>
      <c r="F132" s="65"/>
      <c r="G132" s="65"/>
      <c r="H132" s="65"/>
      <c r="I132" s="65"/>
      <c r="J132" s="6"/>
    </row>
    <row r="133" spans="2:10" ht="15.75" customHeight="1" x14ac:dyDescent="0.2">
      <c r="B133" s="65"/>
      <c r="C133" s="65"/>
      <c r="D133" s="65"/>
      <c r="E133" s="65"/>
      <c r="F133" s="65"/>
      <c r="G133" s="65"/>
      <c r="H133" s="65"/>
      <c r="I133" s="65"/>
      <c r="J133" s="6"/>
    </row>
    <row r="134" spans="2:10" ht="15.75" customHeight="1" x14ac:dyDescent="0.2">
      <c r="C134" s="65"/>
      <c r="D134" s="65"/>
      <c r="E134" s="65"/>
      <c r="F134" s="65"/>
      <c r="G134" s="65"/>
      <c r="H134" s="65"/>
      <c r="I134" s="65"/>
      <c r="J134" s="6"/>
    </row>
    <row r="135" spans="2:10" ht="15.75" customHeight="1" x14ac:dyDescent="0.2">
      <c r="C135" s="65"/>
      <c r="D135" s="65"/>
      <c r="E135" s="65"/>
      <c r="F135" s="65"/>
      <c r="G135" s="65"/>
      <c r="H135" s="65"/>
      <c r="I135" s="65"/>
      <c r="J135" s="6"/>
    </row>
    <row r="136" spans="2:10" ht="15.75" customHeight="1" x14ac:dyDescent="0.2">
      <c r="C136" s="65"/>
      <c r="D136" s="65"/>
      <c r="E136" s="65"/>
      <c r="F136" s="65"/>
      <c r="G136" s="65"/>
      <c r="H136" s="65"/>
      <c r="I136" s="65"/>
      <c r="J136" s="6"/>
    </row>
    <row r="137" spans="2:10" ht="15.75" customHeight="1" x14ac:dyDescent="0.2">
      <c r="C137" s="65"/>
      <c r="D137" s="65"/>
      <c r="E137" s="65"/>
      <c r="F137" s="65"/>
      <c r="G137" s="65"/>
      <c r="H137" s="65"/>
      <c r="I137" s="65"/>
      <c r="J137" s="6"/>
    </row>
    <row r="138" spans="2:10" ht="15.75" customHeight="1" x14ac:dyDescent="0.2">
      <c r="C138" s="65"/>
      <c r="D138" s="65"/>
      <c r="E138" s="65"/>
      <c r="F138" s="65"/>
      <c r="G138" s="65"/>
      <c r="H138" s="65"/>
      <c r="I138" s="65"/>
      <c r="J138" s="6"/>
    </row>
    <row r="139" spans="2:10" ht="15.75" customHeight="1" x14ac:dyDescent="0.2">
      <c r="C139" s="65"/>
      <c r="D139" s="65"/>
      <c r="E139" s="65"/>
      <c r="F139" s="65"/>
      <c r="G139" s="65"/>
      <c r="H139" s="65"/>
      <c r="I139" s="65"/>
      <c r="J139" s="6"/>
    </row>
    <row r="140" spans="2:10" ht="15.75" customHeight="1" x14ac:dyDescent="0.2">
      <c r="C140" s="65"/>
      <c r="D140" s="65"/>
      <c r="E140" s="65"/>
      <c r="F140" s="65"/>
      <c r="G140" s="65"/>
      <c r="H140" s="65"/>
      <c r="I140" s="65"/>
      <c r="J140" s="6"/>
    </row>
    <row r="141" spans="2:10" ht="15.75" customHeight="1" x14ac:dyDescent="0.2">
      <c r="J141" s="6"/>
    </row>
    <row r="142" spans="2:10" ht="15.75" customHeight="1" x14ac:dyDescent="0.2">
      <c r="J142" s="6"/>
    </row>
    <row r="143" spans="2:10" ht="15.75" customHeight="1" x14ac:dyDescent="0.2">
      <c r="J143" s="6"/>
    </row>
    <row r="144" spans="2:10" ht="15.75" customHeight="1" x14ac:dyDescent="0.2">
      <c r="J144" s="6"/>
    </row>
    <row r="145" spans="10:10" ht="15.75" customHeight="1" x14ac:dyDescent="0.2">
      <c r="J145" s="6"/>
    </row>
    <row r="146" spans="10:10" ht="15.75" customHeight="1" x14ac:dyDescent="0.2">
      <c r="J146" s="6"/>
    </row>
    <row r="147" spans="10:10" ht="15.75" customHeight="1" x14ac:dyDescent="0.2">
      <c r="J147" s="6"/>
    </row>
    <row r="148" spans="10:10" ht="15.75" customHeight="1" x14ac:dyDescent="0.2">
      <c r="J148" s="6"/>
    </row>
    <row r="149" spans="10:10" ht="15.75" customHeight="1" x14ac:dyDescent="0.2">
      <c r="J149" s="6"/>
    </row>
    <row r="150" spans="10:10" ht="15.75" customHeight="1" x14ac:dyDescent="0.2">
      <c r="J150" s="6"/>
    </row>
    <row r="151" spans="10:10" ht="15.75" customHeight="1" x14ac:dyDescent="0.2">
      <c r="J151" s="6"/>
    </row>
    <row r="152" spans="10:10" ht="15.75" customHeight="1" x14ac:dyDescent="0.2">
      <c r="J152" s="6"/>
    </row>
    <row r="153" spans="10:10" ht="15.75" customHeight="1" x14ac:dyDescent="0.2">
      <c r="J153" s="6"/>
    </row>
    <row r="154" spans="10:10" ht="15.75" customHeight="1" x14ac:dyDescent="0.2">
      <c r="J154" s="6"/>
    </row>
    <row r="155" spans="10:10" ht="15.75" customHeight="1" x14ac:dyDescent="0.2">
      <c r="J155" s="6"/>
    </row>
    <row r="156" spans="10:10" ht="15.75" customHeight="1" x14ac:dyDescent="0.2">
      <c r="J156" s="6"/>
    </row>
    <row r="157" spans="10:10" ht="15.75" customHeight="1" x14ac:dyDescent="0.2">
      <c r="J157" s="6"/>
    </row>
    <row r="158" spans="10:10" ht="15.75" customHeight="1" x14ac:dyDescent="0.2">
      <c r="J158" s="6"/>
    </row>
    <row r="159" spans="10:10" ht="15.75" customHeight="1" x14ac:dyDescent="0.2">
      <c r="J159" s="6"/>
    </row>
    <row r="160" spans="10:10" ht="15.75" customHeight="1" x14ac:dyDescent="0.2">
      <c r="J160" s="6"/>
    </row>
    <row r="161" spans="10:10" ht="15.75" customHeight="1" x14ac:dyDescent="0.2">
      <c r="J161" s="6"/>
    </row>
    <row r="162" spans="10:10" ht="15.75" customHeight="1" x14ac:dyDescent="0.2">
      <c r="J162" s="6"/>
    </row>
    <row r="163" spans="10:10" ht="15.75" customHeight="1" x14ac:dyDescent="0.2">
      <c r="J163" s="6"/>
    </row>
    <row r="164" spans="10:10" ht="15.75" customHeight="1" x14ac:dyDescent="0.2">
      <c r="J164" s="6"/>
    </row>
    <row r="165" spans="10:10" ht="15.75" customHeight="1" x14ac:dyDescent="0.2">
      <c r="J165" s="6"/>
    </row>
    <row r="166" spans="10:10" ht="15.75" customHeight="1" x14ac:dyDescent="0.2">
      <c r="J166" s="6"/>
    </row>
    <row r="167" spans="10:10" ht="15.75" customHeight="1" x14ac:dyDescent="0.2">
      <c r="J167" s="6"/>
    </row>
    <row r="168" spans="10:10" ht="15.75" customHeight="1" x14ac:dyDescent="0.2">
      <c r="J168" s="6"/>
    </row>
    <row r="169" spans="10:10" ht="15.75" customHeight="1" x14ac:dyDescent="0.2">
      <c r="J169" s="6"/>
    </row>
    <row r="170" spans="10:10" ht="15.75" customHeight="1" x14ac:dyDescent="0.2">
      <c r="J170" s="6"/>
    </row>
    <row r="171" spans="10:10" ht="15.75" customHeight="1" x14ac:dyDescent="0.2">
      <c r="J171" s="6"/>
    </row>
    <row r="172" spans="10:10" ht="15.75" customHeight="1" x14ac:dyDescent="0.2">
      <c r="J172" s="6"/>
    </row>
    <row r="173" spans="10:10" ht="15.75" customHeight="1" x14ac:dyDescent="0.2">
      <c r="J173" s="6"/>
    </row>
    <row r="174" spans="10:10" ht="15.75" customHeight="1" x14ac:dyDescent="0.2">
      <c r="J174" s="6"/>
    </row>
    <row r="175" spans="10:10" ht="15.75" customHeight="1" x14ac:dyDescent="0.2">
      <c r="J175" s="6"/>
    </row>
    <row r="176" spans="10:10" ht="15.75" customHeight="1" x14ac:dyDescent="0.2">
      <c r="J176" s="6"/>
    </row>
    <row r="177" spans="10:10" ht="15.75" customHeight="1" x14ac:dyDescent="0.2">
      <c r="J177" s="6"/>
    </row>
    <row r="178" spans="10:10" ht="15.75" customHeight="1" x14ac:dyDescent="0.2">
      <c r="J178" s="6"/>
    </row>
    <row r="179" spans="10:10" ht="15.75" customHeight="1" x14ac:dyDescent="0.2">
      <c r="J179" s="6"/>
    </row>
    <row r="180" spans="10:10" ht="15.75" customHeight="1" x14ac:dyDescent="0.2">
      <c r="J180" s="6"/>
    </row>
    <row r="181" spans="10:10" ht="15.75" customHeight="1" x14ac:dyDescent="0.2">
      <c r="J181" s="6"/>
    </row>
    <row r="182" spans="10:10" ht="15.75" customHeight="1" x14ac:dyDescent="0.2">
      <c r="J182" s="6"/>
    </row>
    <row r="183" spans="10:10" ht="15.75" customHeight="1" x14ac:dyDescent="0.2">
      <c r="J183" s="6"/>
    </row>
    <row r="184" spans="10:10" ht="15.75" customHeight="1" x14ac:dyDescent="0.2">
      <c r="J184" s="6"/>
    </row>
    <row r="185" spans="10:10" ht="15.75" customHeight="1" x14ac:dyDescent="0.2">
      <c r="J185" s="6"/>
    </row>
    <row r="186" spans="10:10" ht="15.75" customHeight="1" x14ac:dyDescent="0.2">
      <c r="J186" s="6"/>
    </row>
    <row r="187" spans="10:10" ht="15.75" customHeight="1" x14ac:dyDescent="0.2">
      <c r="J187" s="6"/>
    </row>
    <row r="188" spans="10:10" ht="15.75" customHeight="1" x14ac:dyDescent="0.2">
      <c r="J188" s="6"/>
    </row>
    <row r="189" spans="10:10" ht="15.75" customHeight="1" x14ac:dyDescent="0.2">
      <c r="J189" s="6"/>
    </row>
    <row r="190" spans="10:10" ht="15.75" customHeight="1" x14ac:dyDescent="0.2">
      <c r="J190" s="6"/>
    </row>
    <row r="191" spans="10:10" ht="15.75" customHeight="1" x14ac:dyDescent="0.2">
      <c r="J191" s="6"/>
    </row>
    <row r="192" spans="10:10" ht="15.75" customHeight="1" x14ac:dyDescent="0.2">
      <c r="J192" s="6"/>
    </row>
    <row r="193" spans="10:10" ht="15.75" customHeight="1" x14ac:dyDescent="0.2">
      <c r="J193" s="6"/>
    </row>
    <row r="194" spans="10:10" ht="15.75" customHeight="1" x14ac:dyDescent="0.2">
      <c r="J194" s="6"/>
    </row>
    <row r="195" spans="10:10" ht="15.75" customHeight="1" x14ac:dyDescent="0.2">
      <c r="J195" s="6"/>
    </row>
    <row r="196" spans="10:10" ht="15.75" customHeight="1" x14ac:dyDescent="0.2">
      <c r="J196" s="6"/>
    </row>
    <row r="197" spans="10:10" ht="15.75" customHeight="1" x14ac:dyDescent="0.2">
      <c r="J197" s="6"/>
    </row>
    <row r="198" spans="10:10" ht="15.75" customHeight="1" x14ac:dyDescent="0.2">
      <c r="J198" s="6"/>
    </row>
    <row r="199" spans="10:10" ht="15.75" customHeight="1" x14ac:dyDescent="0.2">
      <c r="J199" s="6"/>
    </row>
    <row r="200" spans="10:10" ht="15.75" customHeight="1" x14ac:dyDescent="0.2">
      <c r="J200" s="6"/>
    </row>
    <row r="201" spans="10:10" ht="15.75" customHeight="1" x14ac:dyDescent="0.2">
      <c r="J201" s="6"/>
    </row>
    <row r="202" spans="10:10" ht="15.75" customHeight="1" x14ac:dyDescent="0.2">
      <c r="J202" s="6"/>
    </row>
    <row r="203" spans="10:10" ht="15.75" customHeight="1" x14ac:dyDescent="0.2">
      <c r="J203" s="6"/>
    </row>
    <row r="204" spans="10:10" ht="15.75" customHeight="1" x14ac:dyDescent="0.2">
      <c r="J204" s="6"/>
    </row>
    <row r="205" spans="10:10" ht="15.75" customHeight="1" x14ac:dyDescent="0.2">
      <c r="J205" s="6"/>
    </row>
    <row r="206" spans="10:10" ht="15.75" customHeight="1" x14ac:dyDescent="0.2">
      <c r="J206" s="6"/>
    </row>
    <row r="207" spans="10:10" ht="15.75" customHeight="1" x14ac:dyDescent="0.2">
      <c r="J207" s="6"/>
    </row>
    <row r="208" spans="10:10" ht="15.75" customHeight="1" x14ac:dyDescent="0.2">
      <c r="J208" s="6"/>
    </row>
    <row r="209" spans="10:10" ht="15.75" customHeight="1" x14ac:dyDescent="0.2">
      <c r="J209" s="6"/>
    </row>
    <row r="210" spans="10:10" ht="15.75" customHeight="1" x14ac:dyDescent="0.2">
      <c r="J210" s="6"/>
    </row>
    <row r="211" spans="10:10" ht="15.75" customHeight="1" x14ac:dyDescent="0.2">
      <c r="J211" s="6"/>
    </row>
    <row r="212" spans="10:10" ht="15.75" customHeight="1" x14ac:dyDescent="0.2">
      <c r="J212" s="6"/>
    </row>
    <row r="213" spans="10:10" ht="15.75" customHeight="1" x14ac:dyDescent="0.2">
      <c r="J213" s="6"/>
    </row>
    <row r="214" spans="10:10" ht="15.75" customHeight="1" x14ac:dyDescent="0.2">
      <c r="J214" s="6"/>
    </row>
    <row r="215" spans="10:10" ht="15.75" customHeight="1" x14ac:dyDescent="0.2">
      <c r="J215" s="6"/>
    </row>
    <row r="216" spans="10:10" ht="15.75" customHeight="1" x14ac:dyDescent="0.2">
      <c r="J216" s="6"/>
    </row>
    <row r="217" spans="10:10" ht="15.75" customHeight="1" x14ac:dyDescent="0.2">
      <c r="J217" s="6"/>
    </row>
    <row r="218" spans="10:10" ht="15.75" customHeight="1" x14ac:dyDescent="0.2">
      <c r="J218" s="6"/>
    </row>
    <row r="219" spans="10:10" ht="15.75" customHeight="1" x14ac:dyDescent="0.2">
      <c r="J219" s="6"/>
    </row>
    <row r="220" spans="10:10" ht="15.75" customHeight="1" x14ac:dyDescent="0.2">
      <c r="J220" s="6"/>
    </row>
    <row r="221" spans="10:10" ht="15.75" customHeight="1" x14ac:dyDescent="0.2">
      <c r="J221" s="6"/>
    </row>
    <row r="222" spans="10:10" ht="15.75" customHeight="1" x14ac:dyDescent="0.2">
      <c r="J222" s="6"/>
    </row>
    <row r="223" spans="10:10" ht="15.75" customHeight="1" x14ac:dyDescent="0.2">
      <c r="J223" s="6"/>
    </row>
    <row r="224" spans="10:10" ht="15.75" customHeight="1" x14ac:dyDescent="0.2">
      <c r="J224" s="6"/>
    </row>
    <row r="225" spans="10:10" ht="15.75" customHeight="1" x14ac:dyDescent="0.2">
      <c r="J225" s="6"/>
    </row>
    <row r="226" spans="10:10" ht="15.75" customHeight="1" x14ac:dyDescent="0.2">
      <c r="J226" s="6"/>
    </row>
    <row r="227" spans="10:10" ht="15.75" customHeight="1" x14ac:dyDescent="0.2">
      <c r="J227" s="6"/>
    </row>
    <row r="228" spans="10:10" ht="15.75" customHeight="1" x14ac:dyDescent="0.2">
      <c r="J228" s="6"/>
    </row>
    <row r="229" spans="10:10" ht="15.75" customHeight="1" x14ac:dyDescent="0.2">
      <c r="J229" s="6"/>
    </row>
    <row r="230" spans="10:10" ht="15.75" customHeight="1" x14ac:dyDescent="0.2">
      <c r="J230" s="6"/>
    </row>
    <row r="231" spans="10:10" ht="15.75" customHeight="1" x14ac:dyDescent="0.2">
      <c r="J231" s="6"/>
    </row>
    <row r="232" spans="10:10" ht="15.75" customHeight="1" x14ac:dyDescent="0.2">
      <c r="J232" s="6"/>
    </row>
    <row r="233" spans="10:10" ht="15.75" customHeight="1" x14ac:dyDescent="0.2">
      <c r="J233" s="6"/>
    </row>
    <row r="234" spans="10:10" ht="15.75" customHeight="1" x14ac:dyDescent="0.2">
      <c r="J234" s="6"/>
    </row>
    <row r="235" spans="10:10" ht="15.75" customHeight="1" x14ac:dyDescent="0.2">
      <c r="J235" s="6"/>
    </row>
    <row r="236" spans="10:10" ht="15.75" customHeight="1" x14ac:dyDescent="0.2">
      <c r="J236" s="6"/>
    </row>
    <row r="237" spans="10:10" ht="15.75" customHeight="1" x14ac:dyDescent="0.2">
      <c r="J237" s="6"/>
    </row>
    <row r="238" spans="10:10" ht="15.75" customHeight="1" x14ac:dyDescent="0.2">
      <c r="J238" s="6"/>
    </row>
    <row r="239" spans="10:10" ht="15.75" customHeight="1" x14ac:dyDescent="0.2">
      <c r="J239" s="6"/>
    </row>
    <row r="240" spans="10:10" ht="15.75" customHeight="1" x14ac:dyDescent="0.2">
      <c r="J240" s="6"/>
    </row>
    <row r="241" spans="10:10" ht="15.75" customHeight="1" x14ac:dyDescent="0.2">
      <c r="J241" s="6"/>
    </row>
    <row r="242" spans="10:10" ht="15.75" customHeight="1" x14ac:dyDescent="0.2">
      <c r="J242" s="6"/>
    </row>
    <row r="243" spans="10:10" ht="15.75" customHeight="1" x14ac:dyDescent="0.2">
      <c r="J243" s="6"/>
    </row>
    <row r="244" spans="10:10" ht="15.75" customHeight="1" x14ac:dyDescent="0.2">
      <c r="J244" s="6"/>
    </row>
    <row r="245" spans="10:10" ht="15.75" customHeight="1" x14ac:dyDescent="0.2">
      <c r="J245" s="6"/>
    </row>
    <row r="246" spans="10:10" ht="15.75" customHeight="1" x14ac:dyDescent="0.2">
      <c r="J246" s="6"/>
    </row>
    <row r="247" spans="10:10" ht="15.75" customHeight="1" x14ac:dyDescent="0.2">
      <c r="J247" s="6"/>
    </row>
    <row r="248" spans="10:10" ht="15.75" customHeight="1" x14ac:dyDescent="0.2">
      <c r="J248" s="6"/>
    </row>
    <row r="249" spans="10:10" ht="15.75" customHeight="1" x14ac:dyDescent="0.2">
      <c r="J249" s="6"/>
    </row>
    <row r="250" spans="10:10" ht="15.75" customHeight="1" x14ac:dyDescent="0.2">
      <c r="J250" s="6"/>
    </row>
    <row r="251" spans="10:10" ht="15.75" customHeight="1" x14ac:dyDescent="0.2">
      <c r="J251" s="6"/>
    </row>
    <row r="252" spans="10:10" ht="15.75" customHeight="1" x14ac:dyDescent="0.2">
      <c r="J252" s="6"/>
    </row>
    <row r="253" spans="10:10" ht="15.75" customHeight="1" x14ac:dyDescent="0.2">
      <c r="J253" s="6"/>
    </row>
    <row r="254" spans="10:10" ht="15.75" customHeight="1" x14ac:dyDescent="0.2">
      <c r="J254" s="6"/>
    </row>
    <row r="255" spans="10:10" ht="15.75" customHeight="1" x14ac:dyDescent="0.2">
      <c r="J255" s="6"/>
    </row>
    <row r="256" spans="10:10" ht="15.75" customHeight="1" x14ac:dyDescent="0.2">
      <c r="J256" s="6"/>
    </row>
    <row r="257" spans="10:10" ht="15.75" customHeight="1" x14ac:dyDescent="0.2">
      <c r="J257" s="6"/>
    </row>
    <row r="258" spans="10:10" ht="15.75" customHeight="1" x14ac:dyDescent="0.2">
      <c r="J258" s="6"/>
    </row>
    <row r="259" spans="10:10" ht="15.75" customHeight="1" x14ac:dyDescent="0.2">
      <c r="J259" s="6"/>
    </row>
    <row r="260" spans="10:10" ht="15.75" customHeight="1" x14ac:dyDescent="0.2">
      <c r="J260" s="6"/>
    </row>
    <row r="261" spans="10:10" ht="15.75" customHeight="1" x14ac:dyDescent="0.2">
      <c r="J261" s="6"/>
    </row>
    <row r="262" spans="10:10" ht="15.75" customHeight="1" x14ac:dyDescent="0.2">
      <c r="J262" s="6"/>
    </row>
    <row r="263" spans="10:10" ht="15.75" customHeight="1" x14ac:dyDescent="0.2">
      <c r="J263" s="6"/>
    </row>
    <row r="264" spans="10:10" ht="15.75" customHeight="1" x14ac:dyDescent="0.2">
      <c r="J264" s="6"/>
    </row>
    <row r="265" spans="10:10" ht="15.75" customHeight="1" x14ac:dyDescent="0.2">
      <c r="J265" s="6"/>
    </row>
    <row r="266" spans="10:10" ht="15.75" customHeight="1" x14ac:dyDescent="0.2">
      <c r="J266" s="6"/>
    </row>
    <row r="267" spans="10:10" ht="15.75" customHeight="1" x14ac:dyDescent="0.2">
      <c r="J267" s="6"/>
    </row>
    <row r="268" spans="10:10" ht="15.75" customHeight="1" x14ac:dyDescent="0.2">
      <c r="J268" s="6"/>
    </row>
    <row r="269" spans="10:10" ht="15.75" customHeight="1" x14ac:dyDescent="0.2">
      <c r="J269" s="6"/>
    </row>
    <row r="270" spans="10:10" ht="15.75" customHeight="1" x14ac:dyDescent="0.2">
      <c r="J270" s="6"/>
    </row>
    <row r="271" spans="10:10" ht="15.75" customHeight="1" x14ac:dyDescent="0.2">
      <c r="J271" s="6"/>
    </row>
    <row r="272" spans="10:10" ht="15.75" customHeight="1" x14ac:dyDescent="0.2">
      <c r="J272" s="6"/>
    </row>
    <row r="273" spans="10:10" ht="15.75" customHeight="1" x14ac:dyDescent="0.2">
      <c r="J273" s="6"/>
    </row>
    <row r="274" spans="10:10" ht="15.75" customHeight="1" x14ac:dyDescent="0.2">
      <c r="J274" s="6"/>
    </row>
    <row r="275" spans="10:10" ht="15.75" customHeight="1" x14ac:dyDescent="0.2">
      <c r="J275" s="6"/>
    </row>
    <row r="276" spans="10:10" ht="15.75" customHeight="1" x14ac:dyDescent="0.2">
      <c r="J276" s="6"/>
    </row>
    <row r="277" spans="10:10" ht="15.75" customHeight="1" x14ac:dyDescent="0.2">
      <c r="J277" s="6"/>
    </row>
    <row r="278" spans="10:10" ht="15.75" customHeight="1" x14ac:dyDescent="0.2">
      <c r="J278" s="6"/>
    </row>
    <row r="279" spans="10:10" ht="15.75" customHeight="1" x14ac:dyDescent="0.2">
      <c r="J279" s="6"/>
    </row>
    <row r="280" spans="10:10" ht="15.75" customHeight="1" x14ac:dyDescent="0.2">
      <c r="J280" s="6"/>
    </row>
    <row r="281" spans="10:10" ht="15.75" customHeight="1" x14ac:dyDescent="0.2">
      <c r="J281" s="6"/>
    </row>
    <row r="282" spans="10:10" ht="15.75" customHeight="1" x14ac:dyDescent="0.2">
      <c r="J282" s="6"/>
    </row>
    <row r="283" spans="10:10" ht="15.75" customHeight="1" x14ac:dyDescent="0.2">
      <c r="J283" s="6"/>
    </row>
    <row r="284" spans="10:10" ht="15.75" customHeight="1" x14ac:dyDescent="0.2">
      <c r="J284" s="6"/>
    </row>
    <row r="285" spans="10:10" ht="15.75" customHeight="1" x14ac:dyDescent="0.2">
      <c r="J285" s="6"/>
    </row>
    <row r="286" spans="10:10" ht="15.75" customHeight="1" x14ac:dyDescent="0.2">
      <c r="J286" s="6"/>
    </row>
    <row r="287" spans="10:10" ht="15.75" customHeight="1" x14ac:dyDescent="0.2">
      <c r="J287" s="6"/>
    </row>
    <row r="288" spans="10:10" ht="15.75" customHeight="1" x14ac:dyDescent="0.2">
      <c r="J288" s="6"/>
    </row>
    <row r="289" spans="10:10" ht="15.75" customHeight="1" x14ac:dyDescent="0.2">
      <c r="J289" s="6"/>
    </row>
    <row r="290" spans="10:10" ht="15.75" customHeight="1" x14ac:dyDescent="0.2">
      <c r="J290" s="6"/>
    </row>
    <row r="291" spans="10:10" ht="15.75" customHeight="1" x14ac:dyDescent="0.2">
      <c r="J291" s="6"/>
    </row>
    <row r="292" spans="10:10" ht="15.75" customHeight="1" x14ac:dyDescent="0.2">
      <c r="J292" s="6"/>
    </row>
    <row r="293" spans="10:10" ht="15.75" customHeight="1" x14ac:dyDescent="0.2">
      <c r="J293" s="6"/>
    </row>
    <row r="294" spans="10:10" ht="15.75" customHeight="1" x14ac:dyDescent="0.2">
      <c r="J294" s="6"/>
    </row>
    <row r="295" spans="10:10" ht="15.75" customHeight="1" x14ac:dyDescent="0.2">
      <c r="J295" s="6"/>
    </row>
    <row r="296" spans="10:10" ht="15.75" customHeight="1" x14ac:dyDescent="0.2">
      <c r="J296" s="6"/>
    </row>
    <row r="297" spans="10:10" ht="15.75" customHeight="1" x14ac:dyDescent="0.2">
      <c r="J297" s="6"/>
    </row>
    <row r="298" spans="10:10" ht="15.75" customHeight="1" x14ac:dyDescent="0.2">
      <c r="J298" s="6"/>
    </row>
    <row r="299" spans="10:10" ht="15.75" customHeight="1" x14ac:dyDescent="0.2">
      <c r="J299" s="6"/>
    </row>
    <row r="300" spans="10:10" ht="15.75" customHeight="1" x14ac:dyDescent="0.2">
      <c r="J300" s="6"/>
    </row>
    <row r="301" spans="10:10" ht="15.75" customHeight="1" x14ac:dyDescent="0.2">
      <c r="J301" s="6"/>
    </row>
    <row r="302" spans="10:10" ht="15.75" customHeight="1" x14ac:dyDescent="0.2">
      <c r="J302" s="6"/>
    </row>
    <row r="303" spans="10:10" ht="15.75" customHeight="1" x14ac:dyDescent="0.2">
      <c r="J303" s="6"/>
    </row>
    <row r="304" spans="10:10" ht="15.75" customHeight="1" x14ac:dyDescent="0.2">
      <c r="J304" s="6"/>
    </row>
    <row r="305" spans="10:10" ht="15.75" customHeight="1" x14ac:dyDescent="0.2">
      <c r="J305" s="6"/>
    </row>
    <row r="306" spans="10:10" ht="15.75" customHeight="1" x14ac:dyDescent="0.2">
      <c r="J306" s="6"/>
    </row>
    <row r="307" spans="10:10" ht="15.75" customHeight="1" x14ac:dyDescent="0.2">
      <c r="J307" s="6"/>
    </row>
    <row r="308" spans="10:10" ht="15.75" customHeight="1" x14ac:dyDescent="0.2">
      <c r="J308" s="6"/>
    </row>
    <row r="309" spans="10:10" ht="15.75" customHeight="1" x14ac:dyDescent="0.2">
      <c r="J309" s="6"/>
    </row>
    <row r="310" spans="10:10" ht="15.75" customHeight="1" x14ac:dyDescent="0.2">
      <c r="J310" s="6"/>
    </row>
    <row r="311" spans="10:10" ht="15.75" customHeight="1" x14ac:dyDescent="0.2">
      <c r="J311" s="6"/>
    </row>
    <row r="312" spans="10:10" ht="15.75" customHeight="1" x14ac:dyDescent="0.2">
      <c r="J312" s="6"/>
    </row>
    <row r="313" spans="10:10" ht="15.75" customHeight="1" x14ac:dyDescent="0.2">
      <c r="J313" s="6"/>
    </row>
    <row r="314" spans="10:10" ht="15.75" customHeight="1" x14ac:dyDescent="0.2">
      <c r="J314" s="6"/>
    </row>
    <row r="315" spans="10:10" ht="15.75" customHeight="1" x14ac:dyDescent="0.2">
      <c r="J315" s="6"/>
    </row>
    <row r="316" spans="10:10" ht="15.75" customHeight="1" x14ac:dyDescent="0.2">
      <c r="J316" s="6"/>
    </row>
    <row r="317" spans="10:10" ht="15.75" customHeight="1" x14ac:dyDescent="0.2">
      <c r="J317" s="6"/>
    </row>
    <row r="318" spans="10:10" ht="15.75" customHeight="1" x14ac:dyDescent="0.2">
      <c r="J318" s="6"/>
    </row>
    <row r="319" spans="10:10" ht="15.75" customHeight="1" x14ac:dyDescent="0.2">
      <c r="J319" s="6"/>
    </row>
    <row r="320" spans="10:10" ht="15.75" customHeight="1" x14ac:dyDescent="0.2">
      <c r="J320" s="6"/>
    </row>
    <row r="321" spans="10:10" ht="15.75" customHeight="1" x14ac:dyDescent="0.2">
      <c r="J321" s="6"/>
    </row>
    <row r="322" spans="10:10" ht="15.75" customHeight="1" x14ac:dyDescent="0.2">
      <c r="J322" s="6"/>
    </row>
    <row r="323" spans="10:10" ht="15.75" customHeight="1" x14ac:dyDescent="0.2">
      <c r="J323" s="6"/>
    </row>
    <row r="324" spans="10:10" ht="15.75" customHeight="1" x14ac:dyDescent="0.2">
      <c r="J324" s="6"/>
    </row>
    <row r="325" spans="10:10" ht="15.75" customHeight="1" x14ac:dyDescent="0.2">
      <c r="J325" s="6"/>
    </row>
    <row r="326" spans="10:10" ht="15.75" customHeight="1" x14ac:dyDescent="0.2">
      <c r="J326" s="6"/>
    </row>
    <row r="327" spans="10:10" ht="15.75" customHeight="1" x14ac:dyDescent="0.2">
      <c r="J327" s="6"/>
    </row>
    <row r="328" spans="10:10" ht="15.75" customHeight="1" x14ac:dyDescent="0.2">
      <c r="J328" s="6"/>
    </row>
    <row r="329" spans="10:10" ht="15.75" customHeight="1" x14ac:dyDescent="0.2">
      <c r="J329" s="6"/>
    </row>
    <row r="330" spans="10:10" ht="15.75" customHeight="1" x14ac:dyDescent="0.2">
      <c r="J330" s="6"/>
    </row>
    <row r="331" spans="10:10" ht="15.75" customHeight="1" x14ac:dyDescent="0.2">
      <c r="J331" s="6"/>
    </row>
    <row r="332" spans="10:10" ht="15.75" customHeight="1" x14ac:dyDescent="0.2">
      <c r="J332" s="6"/>
    </row>
    <row r="333" spans="10:10" ht="15.75" customHeight="1" x14ac:dyDescent="0.2">
      <c r="J333" s="6"/>
    </row>
    <row r="334" spans="10:10" ht="15.75" customHeight="1" x14ac:dyDescent="0.2">
      <c r="J334" s="6"/>
    </row>
    <row r="335" spans="10:10" ht="15.75" customHeight="1" x14ac:dyDescent="0.2">
      <c r="J335" s="6"/>
    </row>
    <row r="336" spans="10:10" ht="15.75" customHeight="1" x14ac:dyDescent="0.2">
      <c r="J336" s="6"/>
    </row>
    <row r="337" spans="10:10" ht="15.75" customHeight="1" x14ac:dyDescent="0.2">
      <c r="J337" s="6"/>
    </row>
    <row r="338" spans="10:10" ht="15.75" customHeight="1" x14ac:dyDescent="0.2">
      <c r="J338" s="6"/>
    </row>
    <row r="339" spans="10:10" ht="15.75" customHeight="1" x14ac:dyDescent="0.2">
      <c r="J339" s="6"/>
    </row>
    <row r="340" spans="10:10" ht="15.75" customHeight="1" x14ac:dyDescent="0.2">
      <c r="J340" s="6"/>
    </row>
    <row r="341" spans="10:10" ht="15.75" customHeight="1" x14ac:dyDescent="0.2">
      <c r="J341" s="6"/>
    </row>
    <row r="342" spans="10:10" ht="15.75" customHeight="1" x14ac:dyDescent="0.2">
      <c r="J342" s="6"/>
    </row>
    <row r="343" spans="10:10" ht="15.75" customHeight="1" x14ac:dyDescent="0.2">
      <c r="J343" s="6"/>
    </row>
    <row r="344" spans="10:10" ht="15.75" customHeight="1" x14ac:dyDescent="0.2">
      <c r="J344" s="6"/>
    </row>
    <row r="345" spans="10:10" ht="15.75" customHeight="1" x14ac:dyDescent="0.2">
      <c r="J345" s="6"/>
    </row>
    <row r="346" spans="10:10" ht="15.75" customHeight="1" x14ac:dyDescent="0.2">
      <c r="J346" s="6"/>
    </row>
    <row r="347" spans="10:10" ht="15.75" customHeight="1" x14ac:dyDescent="0.2">
      <c r="J347" s="6"/>
    </row>
    <row r="348" spans="10:10" ht="15.75" customHeight="1" x14ac:dyDescent="0.2">
      <c r="J348" s="6"/>
    </row>
    <row r="349" spans="10:10" ht="15.75" customHeight="1" x14ac:dyDescent="0.2">
      <c r="J349" s="6"/>
    </row>
    <row r="350" spans="10:10" ht="15.75" customHeight="1" x14ac:dyDescent="0.2">
      <c r="J350" s="6"/>
    </row>
    <row r="351" spans="10:10" ht="15.75" customHeight="1" x14ac:dyDescent="0.2">
      <c r="J351" s="6"/>
    </row>
    <row r="352" spans="10:10" ht="15.75" customHeight="1" x14ac:dyDescent="0.2">
      <c r="J352" s="6"/>
    </row>
    <row r="353" spans="10:10" ht="15.75" customHeight="1" x14ac:dyDescent="0.2">
      <c r="J353" s="6"/>
    </row>
    <row r="354" spans="10:10" ht="15.75" customHeight="1" x14ac:dyDescent="0.2">
      <c r="J354" s="6"/>
    </row>
    <row r="355" spans="10:10" ht="15.75" customHeight="1" x14ac:dyDescent="0.2">
      <c r="J355" s="6"/>
    </row>
    <row r="356" spans="10:10" ht="15.75" customHeight="1" x14ac:dyDescent="0.2">
      <c r="J356" s="6"/>
    </row>
    <row r="357" spans="10:10" ht="15.75" customHeight="1" x14ac:dyDescent="0.2">
      <c r="J357" s="6"/>
    </row>
    <row r="358" spans="10:10" ht="15.75" customHeight="1" x14ac:dyDescent="0.2">
      <c r="J358" s="6"/>
    </row>
    <row r="359" spans="10:10" ht="15.75" customHeight="1" x14ac:dyDescent="0.2">
      <c r="J359" s="6"/>
    </row>
    <row r="360" spans="10:10" ht="15.75" customHeight="1" x14ac:dyDescent="0.2">
      <c r="J360" s="6"/>
    </row>
    <row r="361" spans="10:10" ht="15.75" customHeight="1" x14ac:dyDescent="0.2">
      <c r="J361" s="6"/>
    </row>
    <row r="362" spans="10:10" ht="15.75" customHeight="1" x14ac:dyDescent="0.2">
      <c r="J362" s="6"/>
    </row>
    <row r="363" spans="10:10" ht="15.75" customHeight="1" x14ac:dyDescent="0.2">
      <c r="J363" s="6"/>
    </row>
    <row r="364" spans="10:10" ht="15.75" customHeight="1" x14ac:dyDescent="0.2">
      <c r="J364" s="6"/>
    </row>
    <row r="365" spans="10:10" ht="15.75" customHeight="1" x14ac:dyDescent="0.2">
      <c r="J365" s="6"/>
    </row>
    <row r="366" spans="10:10" ht="15.75" customHeight="1" x14ac:dyDescent="0.2">
      <c r="J366" s="6"/>
    </row>
    <row r="367" spans="10:10" ht="15.75" customHeight="1" x14ac:dyDescent="0.2">
      <c r="J367" s="6"/>
    </row>
    <row r="368" spans="10:10" ht="15.75" customHeight="1" x14ac:dyDescent="0.2">
      <c r="J368" s="6"/>
    </row>
    <row r="369" spans="10:10" ht="15.75" customHeight="1" x14ac:dyDescent="0.2">
      <c r="J369" s="6"/>
    </row>
    <row r="370" spans="10:10" ht="15.75" customHeight="1" x14ac:dyDescent="0.2">
      <c r="J370" s="6"/>
    </row>
    <row r="371" spans="10:10" ht="15.75" customHeight="1" x14ac:dyDescent="0.2">
      <c r="J371" s="6"/>
    </row>
    <row r="372" spans="10:10" ht="15.75" customHeight="1" x14ac:dyDescent="0.2">
      <c r="J372" s="6"/>
    </row>
    <row r="373" spans="10:10" ht="15.75" customHeight="1" x14ac:dyDescent="0.2">
      <c r="J373" s="6"/>
    </row>
    <row r="374" spans="10:10" ht="15.75" customHeight="1" x14ac:dyDescent="0.2">
      <c r="J374" s="6"/>
    </row>
    <row r="375" spans="10:10" ht="15.75" customHeight="1" x14ac:dyDescent="0.2">
      <c r="J375" s="6"/>
    </row>
    <row r="376" spans="10:10" ht="15.75" customHeight="1" x14ac:dyDescent="0.2">
      <c r="J376" s="6"/>
    </row>
    <row r="377" spans="10:10" ht="15.75" customHeight="1" x14ac:dyDescent="0.2">
      <c r="J377" s="6"/>
    </row>
    <row r="378" spans="10:10" ht="15.75" customHeight="1" x14ac:dyDescent="0.2">
      <c r="J378" s="6"/>
    </row>
    <row r="379" spans="10:10" ht="15.75" customHeight="1" x14ac:dyDescent="0.2">
      <c r="J379" s="6"/>
    </row>
    <row r="380" spans="10:10" ht="15.75" customHeight="1" x14ac:dyDescent="0.2">
      <c r="J380" s="6"/>
    </row>
    <row r="381" spans="10:10" ht="15.75" customHeight="1" x14ac:dyDescent="0.2">
      <c r="J381" s="6"/>
    </row>
    <row r="382" spans="10:10" ht="15.75" customHeight="1" x14ac:dyDescent="0.2">
      <c r="J382" s="6"/>
    </row>
    <row r="383" spans="10:10" ht="15.75" customHeight="1" x14ac:dyDescent="0.2">
      <c r="J383" s="6"/>
    </row>
    <row r="384" spans="10:10" ht="15.75" customHeight="1" x14ac:dyDescent="0.2">
      <c r="J384" s="6"/>
    </row>
    <row r="385" spans="10:10" ht="15.75" customHeight="1" x14ac:dyDescent="0.2">
      <c r="J385" s="6"/>
    </row>
    <row r="386" spans="10:10" ht="15.75" customHeight="1" x14ac:dyDescent="0.2">
      <c r="J386" s="6"/>
    </row>
    <row r="387" spans="10:10" ht="15.75" customHeight="1" x14ac:dyDescent="0.2">
      <c r="J387" s="6"/>
    </row>
    <row r="388" spans="10:10" ht="15.75" customHeight="1" x14ac:dyDescent="0.2">
      <c r="J388" s="6"/>
    </row>
    <row r="389" spans="10:10" ht="15.75" customHeight="1" x14ac:dyDescent="0.2">
      <c r="J389" s="6"/>
    </row>
    <row r="390" spans="10:10" ht="15.75" customHeight="1" x14ac:dyDescent="0.2">
      <c r="J390" s="6"/>
    </row>
    <row r="391" spans="10:10" ht="15.75" customHeight="1" x14ac:dyDescent="0.2">
      <c r="J391" s="6"/>
    </row>
    <row r="392" spans="10:10" ht="15.75" customHeight="1" x14ac:dyDescent="0.2">
      <c r="J392" s="6"/>
    </row>
    <row r="393" spans="10:10" ht="15.75" customHeight="1" x14ac:dyDescent="0.2">
      <c r="J393" s="6"/>
    </row>
    <row r="394" spans="10:10" ht="15.75" customHeight="1" x14ac:dyDescent="0.2">
      <c r="J394" s="6"/>
    </row>
    <row r="395" spans="10:10" ht="15.75" customHeight="1" x14ac:dyDescent="0.2">
      <c r="J395" s="6"/>
    </row>
    <row r="396" spans="10:10" ht="15.75" customHeight="1" x14ac:dyDescent="0.2">
      <c r="J396" s="6"/>
    </row>
    <row r="397" spans="10:10" ht="15.75" customHeight="1" x14ac:dyDescent="0.2">
      <c r="J397" s="6"/>
    </row>
    <row r="398" spans="10:10" ht="15.75" customHeight="1" x14ac:dyDescent="0.2">
      <c r="J398" s="6"/>
    </row>
    <row r="399" spans="10:10" ht="15.75" customHeight="1" x14ac:dyDescent="0.2">
      <c r="J399" s="6"/>
    </row>
    <row r="400" spans="10:10" ht="15.75" customHeight="1" x14ac:dyDescent="0.2">
      <c r="J400" s="6"/>
    </row>
    <row r="401" spans="10:10" ht="15.75" customHeight="1" x14ac:dyDescent="0.2">
      <c r="J401" s="6"/>
    </row>
    <row r="402" spans="10:10" ht="15.75" customHeight="1" x14ac:dyDescent="0.2">
      <c r="J402" s="6"/>
    </row>
    <row r="403" spans="10:10" ht="15.75" customHeight="1" x14ac:dyDescent="0.2">
      <c r="J403" s="6"/>
    </row>
    <row r="404" spans="10:10" ht="15.75" customHeight="1" x14ac:dyDescent="0.2">
      <c r="J404" s="6"/>
    </row>
    <row r="405" spans="10:10" ht="15.75" customHeight="1" x14ac:dyDescent="0.2">
      <c r="J405" s="6"/>
    </row>
    <row r="406" spans="10:10" ht="15.75" customHeight="1" x14ac:dyDescent="0.2">
      <c r="J406" s="6"/>
    </row>
    <row r="407" spans="10:10" ht="15.75" customHeight="1" x14ac:dyDescent="0.2">
      <c r="J407" s="6"/>
    </row>
    <row r="408" spans="10:10" ht="15.75" customHeight="1" x14ac:dyDescent="0.2">
      <c r="J408" s="6"/>
    </row>
    <row r="409" spans="10:10" ht="15.75" customHeight="1" x14ac:dyDescent="0.2">
      <c r="J409" s="6"/>
    </row>
    <row r="410" spans="10:10" ht="15.75" customHeight="1" x14ac:dyDescent="0.2">
      <c r="J410" s="6"/>
    </row>
    <row r="411" spans="10:10" ht="15.75" customHeight="1" x14ac:dyDescent="0.2">
      <c r="J411" s="6"/>
    </row>
    <row r="412" spans="10:10" ht="15.75" customHeight="1" x14ac:dyDescent="0.2">
      <c r="J412" s="6"/>
    </row>
    <row r="413" spans="10:10" ht="15.75" customHeight="1" x14ac:dyDescent="0.2">
      <c r="J413" s="6"/>
    </row>
    <row r="414" spans="10:10" ht="15.75" customHeight="1" x14ac:dyDescent="0.2">
      <c r="J414" s="6"/>
    </row>
    <row r="415" spans="10:10" ht="15.75" customHeight="1" x14ac:dyDescent="0.2">
      <c r="J415" s="6"/>
    </row>
    <row r="416" spans="10:10" ht="15.75" customHeight="1" x14ac:dyDescent="0.2">
      <c r="J416" s="6"/>
    </row>
    <row r="417" spans="10:10" ht="15.75" customHeight="1" x14ac:dyDescent="0.2">
      <c r="J417" s="6"/>
    </row>
    <row r="418" spans="10:10" ht="15.75" customHeight="1" x14ac:dyDescent="0.2">
      <c r="J418" s="6"/>
    </row>
    <row r="419" spans="10:10" ht="15.75" customHeight="1" x14ac:dyDescent="0.2">
      <c r="J419" s="6"/>
    </row>
    <row r="420" spans="10:10" ht="15.75" customHeight="1" x14ac:dyDescent="0.2">
      <c r="J420" s="6"/>
    </row>
    <row r="421" spans="10:10" ht="15.75" customHeight="1" x14ac:dyDescent="0.2">
      <c r="J421" s="6"/>
    </row>
    <row r="422" spans="10:10" ht="15.75" customHeight="1" x14ac:dyDescent="0.2">
      <c r="J422" s="6"/>
    </row>
    <row r="423" spans="10:10" ht="15.75" customHeight="1" x14ac:dyDescent="0.2">
      <c r="J423" s="6"/>
    </row>
    <row r="424" spans="10:10" ht="15.75" customHeight="1" x14ac:dyDescent="0.2">
      <c r="J424" s="6"/>
    </row>
    <row r="425" spans="10:10" ht="15.75" customHeight="1" x14ac:dyDescent="0.2">
      <c r="J425" s="6"/>
    </row>
    <row r="426" spans="10:10" ht="15.75" customHeight="1" x14ac:dyDescent="0.2">
      <c r="J426" s="6"/>
    </row>
    <row r="427" spans="10:10" ht="15.75" customHeight="1" x14ac:dyDescent="0.2">
      <c r="J427" s="6"/>
    </row>
    <row r="428" spans="10:10" ht="15.75" customHeight="1" x14ac:dyDescent="0.2">
      <c r="J428" s="6"/>
    </row>
    <row r="429" spans="10:10" ht="15.75" customHeight="1" x14ac:dyDescent="0.2">
      <c r="J429" s="6"/>
    </row>
    <row r="430" spans="10:10" ht="15.75" customHeight="1" x14ac:dyDescent="0.2">
      <c r="J430" s="6"/>
    </row>
    <row r="431" spans="10:10" ht="15.75" customHeight="1" x14ac:dyDescent="0.2">
      <c r="J431" s="6"/>
    </row>
    <row r="432" spans="10:10" ht="15.75" customHeight="1" x14ac:dyDescent="0.2">
      <c r="J432" s="6"/>
    </row>
    <row r="433" spans="10:10" ht="15.75" customHeight="1" x14ac:dyDescent="0.2">
      <c r="J433" s="6"/>
    </row>
    <row r="434" spans="10:10" ht="15.75" customHeight="1" x14ac:dyDescent="0.2">
      <c r="J434" s="6"/>
    </row>
    <row r="435" spans="10:10" ht="15.75" customHeight="1" x14ac:dyDescent="0.2">
      <c r="J435" s="6"/>
    </row>
    <row r="436" spans="10:10" ht="15.75" customHeight="1" x14ac:dyDescent="0.2">
      <c r="J436" s="6"/>
    </row>
    <row r="437" spans="10:10" ht="15.75" customHeight="1" x14ac:dyDescent="0.2">
      <c r="J437" s="6"/>
    </row>
    <row r="438" spans="10:10" ht="15.75" customHeight="1" x14ac:dyDescent="0.2">
      <c r="J438" s="6"/>
    </row>
    <row r="439" spans="10:10" ht="15.75" customHeight="1" x14ac:dyDescent="0.2">
      <c r="J439" s="6"/>
    </row>
    <row r="440" spans="10:10" ht="15.75" customHeight="1" x14ac:dyDescent="0.2">
      <c r="J440" s="6"/>
    </row>
    <row r="441" spans="10:10" ht="15.75" customHeight="1" x14ac:dyDescent="0.2">
      <c r="J441" s="6"/>
    </row>
    <row r="442" spans="10:10" ht="15.75" customHeight="1" x14ac:dyDescent="0.2">
      <c r="J442" s="6"/>
    </row>
    <row r="443" spans="10:10" ht="15.75" customHeight="1" x14ac:dyDescent="0.2">
      <c r="J443" s="6"/>
    </row>
    <row r="444" spans="10:10" ht="15.75" customHeight="1" x14ac:dyDescent="0.2">
      <c r="J444" s="6"/>
    </row>
    <row r="445" spans="10:10" ht="15.75" customHeight="1" x14ac:dyDescent="0.2">
      <c r="J445" s="6"/>
    </row>
    <row r="446" spans="10:10" ht="15.75" customHeight="1" x14ac:dyDescent="0.2">
      <c r="J446" s="6"/>
    </row>
    <row r="447" spans="10:10" ht="15.75" customHeight="1" x14ac:dyDescent="0.2">
      <c r="J447" s="6"/>
    </row>
    <row r="448" spans="10:10" ht="15.75" customHeight="1" x14ac:dyDescent="0.2">
      <c r="J448" s="6"/>
    </row>
    <row r="449" spans="10:10" ht="15.75" customHeight="1" x14ac:dyDescent="0.2">
      <c r="J449" s="6"/>
    </row>
    <row r="450" spans="10:10" ht="15.75" customHeight="1" x14ac:dyDescent="0.2">
      <c r="J450" s="6"/>
    </row>
    <row r="451" spans="10:10" ht="15.75" customHeight="1" x14ac:dyDescent="0.2">
      <c r="J451" s="6"/>
    </row>
    <row r="452" spans="10:10" ht="15.75" customHeight="1" x14ac:dyDescent="0.2">
      <c r="J452" s="6"/>
    </row>
    <row r="453" spans="10:10" ht="15.75" customHeight="1" x14ac:dyDescent="0.2">
      <c r="J453" s="6"/>
    </row>
    <row r="454" spans="10:10" ht="15.75" customHeight="1" x14ac:dyDescent="0.2">
      <c r="J454" s="6"/>
    </row>
    <row r="455" spans="10:10" ht="15.75" customHeight="1" x14ac:dyDescent="0.2">
      <c r="J455" s="6"/>
    </row>
    <row r="456" spans="10:10" ht="15.75" customHeight="1" x14ac:dyDescent="0.2">
      <c r="J456" s="6"/>
    </row>
    <row r="457" spans="10:10" ht="15.75" customHeight="1" x14ac:dyDescent="0.2">
      <c r="J457" s="6"/>
    </row>
    <row r="458" spans="10:10" ht="15.75" customHeight="1" x14ac:dyDescent="0.2">
      <c r="J458" s="6"/>
    </row>
    <row r="459" spans="10:10" ht="15.75" customHeight="1" x14ac:dyDescent="0.2">
      <c r="J459" s="6"/>
    </row>
    <row r="460" spans="10:10" ht="15.75" customHeight="1" x14ac:dyDescent="0.2">
      <c r="J460" s="6"/>
    </row>
    <row r="461" spans="10:10" ht="15.75" customHeight="1" x14ac:dyDescent="0.2">
      <c r="J461" s="6"/>
    </row>
    <row r="462" spans="10:10" ht="15.75" customHeight="1" x14ac:dyDescent="0.2">
      <c r="J462" s="6"/>
    </row>
    <row r="463" spans="10:10" ht="15.75" customHeight="1" x14ac:dyDescent="0.2">
      <c r="J463" s="6"/>
    </row>
    <row r="464" spans="10:10" ht="15.75" customHeight="1" x14ac:dyDescent="0.2">
      <c r="J464" s="6"/>
    </row>
    <row r="465" spans="10:10" ht="15.75" customHeight="1" x14ac:dyDescent="0.2">
      <c r="J465" s="6"/>
    </row>
    <row r="466" spans="10:10" ht="15.75" customHeight="1" x14ac:dyDescent="0.2">
      <c r="J466" s="6"/>
    </row>
    <row r="467" spans="10:10" ht="15.75" customHeight="1" x14ac:dyDescent="0.2">
      <c r="J467" s="6"/>
    </row>
    <row r="468" spans="10:10" ht="15.75" customHeight="1" x14ac:dyDescent="0.2">
      <c r="J468" s="6"/>
    </row>
    <row r="469" spans="10:10" ht="15.75" customHeight="1" x14ac:dyDescent="0.2">
      <c r="J469" s="6"/>
    </row>
    <row r="470" spans="10:10" ht="15.75" customHeight="1" x14ac:dyDescent="0.2">
      <c r="J470" s="6"/>
    </row>
    <row r="471" spans="10:10" ht="15.75" customHeight="1" x14ac:dyDescent="0.2">
      <c r="J471" s="6"/>
    </row>
    <row r="472" spans="10:10" ht="15.75" customHeight="1" x14ac:dyDescent="0.2">
      <c r="J472" s="6"/>
    </row>
    <row r="473" spans="10:10" ht="15.75" customHeight="1" x14ac:dyDescent="0.2">
      <c r="J473" s="6"/>
    </row>
    <row r="474" spans="10:10" ht="15.75" customHeight="1" x14ac:dyDescent="0.2">
      <c r="J474" s="6"/>
    </row>
    <row r="475" spans="10:10" ht="15.75" customHeight="1" x14ac:dyDescent="0.2">
      <c r="J475" s="6"/>
    </row>
    <row r="476" spans="10:10" ht="15.75" customHeight="1" x14ac:dyDescent="0.2">
      <c r="J476" s="6"/>
    </row>
    <row r="477" spans="10:10" ht="15.75" customHeight="1" x14ac:dyDescent="0.2">
      <c r="J477" s="6"/>
    </row>
    <row r="478" spans="10:10" ht="15.75" customHeight="1" x14ac:dyDescent="0.2">
      <c r="J478" s="6"/>
    </row>
    <row r="479" spans="10:10" ht="15.75" customHeight="1" x14ac:dyDescent="0.2">
      <c r="J479" s="6"/>
    </row>
    <row r="480" spans="10:10" ht="15.75" customHeight="1" x14ac:dyDescent="0.2">
      <c r="J480" s="6"/>
    </row>
    <row r="481" spans="10:10" ht="15.75" customHeight="1" x14ac:dyDescent="0.2">
      <c r="J481" s="6"/>
    </row>
    <row r="482" spans="10:10" ht="15.75" customHeight="1" x14ac:dyDescent="0.2">
      <c r="J482" s="6"/>
    </row>
    <row r="483" spans="10:10" ht="15.75" customHeight="1" x14ac:dyDescent="0.2">
      <c r="J483" s="6"/>
    </row>
    <row r="484" spans="10:10" ht="15.75" customHeight="1" x14ac:dyDescent="0.2">
      <c r="J484" s="6"/>
    </row>
    <row r="485" spans="10:10" ht="15.75" customHeight="1" x14ac:dyDescent="0.2">
      <c r="J485" s="6"/>
    </row>
    <row r="486" spans="10:10" ht="15.75" customHeight="1" x14ac:dyDescent="0.2">
      <c r="J486" s="6"/>
    </row>
    <row r="487" spans="10:10" ht="15.75" customHeight="1" x14ac:dyDescent="0.2">
      <c r="J487" s="6"/>
    </row>
    <row r="488" spans="10:10" ht="15.75" customHeight="1" x14ac:dyDescent="0.2">
      <c r="J488" s="6"/>
    </row>
    <row r="489" spans="10:10" ht="15.75" customHeight="1" x14ac:dyDescent="0.2">
      <c r="J489" s="6"/>
    </row>
    <row r="490" spans="10:10" ht="15.75" customHeight="1" x14ac:dyDescent="0.2">
      <c r="J490" s="6"/>
    </row>
    <row r="491" spans="10:10" ht="15.75" customHeight="1" x14ac:dyDescent="0.2">
      <c r="J491" s="6"/>
    </row>
    <row r="492" spans="10:10" ht="15.75" customHeight="1" x14ac:dyDescent="0.2">
      <c r="J492" s="6"/>
    </row>
    <row r="493" spans="10:10" ht="15.75" customHeight="1" x14ac:dyDescent="0.2">
      <c r="J493" s="6"/>
    </row>
    <row r="494" spans="10:10" ht="15.75" customHeight="1" x14ac:dyDescent="0.2">
      <c r="J494" s="6"/>
    </row>
    <row r="495" spans="10:10" ht="15.75" customHeight="1" x14ac:dyDescent="0.2">
      <c r="J495" s="6"/>
    </row>
    <row r="496" spans="10:10" ht="15.75" customHeight="1" x14ac:dyDescent="0.2">
      <c r="J496" s="6"/>
    </row>
    <row r="497" spans="10:10" ht="15.75" customHeight="1" x14ac:dyDescent="0.2">
      <c r="J497" s="6"/>
    </row>
    <row r="498" spans="10:10" ht="15.75" customHeight="1" x14ac:dyDescent="0.2">
      <c r="J498" s="6"/>
    </row>
    <row r="499" spans="10:10" ht="15.75" customHeight="1" x14ac:dyDescent="0.2">
      <c r="J499" s="6"/>
    </row>
    <row r="500" spans="10:10" ht="15.75" customHeight="1" x14ac:dyDescent="0.2">
      <c r="J500" s="6"/>
    </row>
    <row r="501" spans="10:10" ht="15.75" customHeight="1" x14ac:dyDescent="0.2">
      <c r="J501" s="6"/>
    </row>
    <row r="502" spans="10:10" ht="15.75" customHeight="1" x14ac:dyDescent="0.2">
      <c r="J502" s="6"/>
    </row>
    <row r="503" spans="10:10" ht="15.75" customHeight="1" x14ac:dyDescent="0.2">
      <c r="J503" s="6"/>
    </row>
    <row r="504" spans="10:10" ht="15.75" customHeight="1" x14ac:dyDescent="0.2">
      <c r="J504" s="6"/>
    </row>
    <row r="505" spans="10:10" ht="15.75" customHeight="1" x14ac:dyDescent="0.2">
      <c r="J505" s="6"/>
    </row>
    <row r="506" spans="10:10" ht="15.75" customHeight="1" x14ac:dyDescent="0.2">
      <c r="J506" s="6"/>
    </row>
    <row r="507" spans="10:10" ht="15.75" customHeight="1" x14ac:dyDescent="0.2">
      <c r="J507" s="6"/>
    </row>
    <row r="508" spans="10:10" ht="15.75" customHeight="1" x14ac:dyDescent="0.2">
      <c r="J508" s="6"/>
    </row>
    <row r="509" spans="10:10" ht="15.75" customHeight="1" x14ac:dyDescent="0.2">
      <c r="J509" s="6"/>
    </row>
    <row r="510" spans="10:10" ht="15.75" customHeight="1" x14ac:dyDescent="0.2">
      <c r="J510" s="6"/>
    </row>
    <row r="511" spans="10:10" ht="15.75" customHeight="1" x14ac:dyDescent="0.2">
      <c r="J511" s="6"/>
    </row>
    <row r="512" spans="10:10" ht="15.75" customHeight="1" x14ac:dyDescent="0.2">
      <c r="J512" s="6"/>
    </row>
    <row r="513" spans="10:10" ht="15.75" customHeight="1" x14ac:dyDescent="0.2">
      <c r="J513" s="6"/>
    </row>
    <row r="514" spans="10:10" ht="15.75" customHeight="1" x14ac:dyDescent="0.2">
      <c r="J514" s="6"/>
    </row>
    <row r="515" spans="10:10" ht="15.75" customHeight="1" x14ac:dyDescent="0.2">
      <c r="J515" s="6"/>
    </row>
    <row r="516" spans="10:10" ht="15.75" customHeight="1" x14ac:dyDescent="0.2">
      <c r="J516" s="6"/>
    </row>
    <row r="517" spans="10:10" ht="15.75" customHeight="1" x14ac:dyDescent="0.2">
      <c r="J517" s="6"/>
    </row>
    <row r="518" spans="10:10" ht="15.75" customHeight="1" x14ac:dyDescent="0.2">
      <c r="J518" s="6"/>
    </row>
    <row r="519" spans="10:10" ht="15.75" customHeight="1" x14ac:dyDescent="0.2">
      <c r="J519" s="6"/>
    </row>
    <row r="520" spans="10:10" ht="15.75" customHeight="1" x14ac:dyDescent="0.2">
      <c r="J520" s="6"/>
    </row>
    <row r="521" spans="10:10" ht="15.75" customHeight="1" x14ac:dyDescent="0.2">
      <c r="J521" s="6"/>
    </row>
    <row r="522" spans="10:10" ht="15.75" customHeight="1" x14ac:dyDescent="0.2">
      <c r="J522" s="6"/>
    </row>
    <row r="523" spans="10:10" ht="15.75" customHeight="1" x14ac:dyDescent="0.2">
      <c r="J523" s="6"/>
    </row>
    <row r="524" spans="10:10" ht="15.75" customHeight="1" x14ac:dyDescent="0.2">
      <c r="J524" s="6"/>
    </row>
    <row r="525" spans="10:10" ht="15.75" customHeight="1" x14ac:dyDescent="0.2">
      <c r="J525" s="6"/>
    </row>
    <row r="526" spans="10:10" ht="15.75" customHeight="1" x14ac:dyDescent="0.2">
      <c r="J526" s="6"/>
    </row>
    <row r="527" spans="10:10" ht="15.75" customHeight="1" x14ac:dyDescent="0.2">
      <c r="J527" s="6"/>
    </row>
    <row r="528" spans="10:10" ht="15.75" customHeight="1" x14ac:dyDescent="0.2">
      <c r="J528" s="6"/>
    </row>
    <row r="529" spans="10:10" ht="15.75" customHeight="1" x14ac:dyDescent="0.2">
      <c r="J529" s="6"/>
    </row>
    <row r="530" spans="10:10" ht="15.75" customHeight="1" x14ac:dyDescent="0.2">
      <c r="J530" s="6"/>
    </row>
    <row r="531" spans="10:10" ht="15.75" customHeight="1" x14ac:dyDescent="0.2">
      <c r="J531" s="6"/>
    </row>
    <row r="532" spans="10:10" ht="15.75" customHeight="1" x14ac:dyDescent="0.2">
      <c r="J532" s="6"/>
    </row>
    <row r="533" spans="10:10" ht="15.75" customHeight="1" x14ac:dyDescent="0.2">
      <c r="J533" s="6"/>
    </row>
    <row r="534" spans="10:10" ht="15.75" customHeight="1" x14ac:dyDescent="0.2">
      <c r="J534" s="6"/>
    </row>
    <row r="535" spans="10:10" ht="15.75" customHeight="1" x14ac:dyDescent="0.2">
      <c r="J535" s="6"/>
    </row>
    <row r="536" spans="10:10" ht="15.75" customHeight="1" x14ac:dyDescent="0.2">
      <c r="J536" s="6"/>
    </row>
    <row r="537" spans="10:10" ht="15.75" customHeight="1" x14ac:dyDescent="0.2">
      <c r="J537" s="6"/>
    </row>
    <row r="538" spans="10:10" ht="15.75" customHeight="1" x14ac:dyDescent="0.2">
      <c r="J538" s="6"/>
    </row>
    <row r="539" spans="10:10" ht="15.75" customHeight="1" x14ac:dyDescent="0.2">
      <c r="J539" s="6"/>
    </row>
    <row r="540" spans="10:10" ht="15.75" customHeight="1" x14ac:dyDescent="0.2">
      <c r="J540" s="6"/>
    </row>
    <row r="541" spans="10:10" ht="15.75" customHeight="1" x14ac:dyDescent="0.2">
      <c r="J541" s="6"/>
    </row>
    <row r="542" spans="10:10" ht="15.75" customHeight="1" x14ac:dyDescent="0.2">
      <c r="J542" s="6"/>
    </row>
    <row r="543" spans="10:10" ht="15.75" customHeight="1" x14ac:dyDescent="0.2">
      <c r="J543" s="6"/>
    </row>
    <row r="544" spans="10:10" ht="15.75" customHeight="1" x14ac:dyDescent="0.2">
      <c r="J544" s="6"/>
    </row>
    <row r="545" spans="10:10" ht="15.75" customHeight="1" x14ac:dyDescent="0.2">
      <c r="J545" s="6"/>
    </row>
    <row r="546" spans="10:10" ht="15.75" customHeight="1" x14ac:dyDescent="0.2">
      <c r="J546" s="6"/>
    </row>
    <row r="547" spans="10:10" ht="15.75" customHeight="1" x14ac:dyDescent="0.2">
      <c r="J547" s="6"/>
    </row>
    <row r="548" spans="10:10" ht="15.75" customHeight="1" x14ac:dyDescent="0.2">
      <c r="J548" s="6"/>
    </row>
    <row r="549" spans="10:10" ht="15.75" customHeight="1" x14ac:dyDescent="0.2">
      <c r="J549" s="6"/>
    </row>
    <row r="550" spans="10:10" ht="15.75" customHeight="1" x14ac:dyDescent="0.2">
      <c r="J550" s="6"/>
    </row>
    <row r="551" spans="10:10" ht="15.75" customHeight="1" x14ac:dyDescent="0.2">
      <c r="J551" s="6"/>
    </row>
    <row r="552" spans="10:10" ht="15.75" customHeight="1" x14ac:dyDescent="0.2">
      <c r="J552" s="6"/>
    </row>
    <row r="553" spans="10:10" ht="15.75" customHeight="1" x14ac:dyDescent="0.2">
      <c r="J553" s="6"/>
    </row>
    <row r="554" spans="10:10" ht="15.75" customHeight="1" x14ac:dyDescent="0.2">
      <c r="J554" s="6"/>
    </row>
    <row r="555" spans="10:10" ht="15.75" customHeight="1" x14ac:dyDescent="0.2">
      <c r="J555" s="6"/>
    </row>
    <row r="556" spans="10:10" ht="15.75" customHeight="1" x14ac:dyDescent="0.2">
      <c r="J556" s="6"/>
    </row>
    <row r="557" spans="10:10" ht="15.75" customHeight="1" x14ac:dyDescent="0.2">
      <c r="J557" s="6"/>
    </row>
    <row r="558" spans="10:10" ht="15.75" customHeight="1" x14ac:dyDescent="0.2">
      <c r="J558" s="6"/>
    </row>
    <row r="559" spans="10:10" ht="15.75" customHeight="1" x14ac:dyDescent="0.2">
      <c r="J559" s="6"/>
    </row>
    <row r="560" spans="10:10" ht="15.75" customHeight="1" x14ac:dyDescent="0.2">
      <c r="J560" s="6"/>
    </row>
    <row r="561" spans="10:10" ht="15.75" customHeight="1" x14ac:dyDescent="0.2">
      <c r="J561" s="6"/>
    </row>
    <row r="562" spans="10:10" ht="15.75" customHeight="1" x14ac:dyDescent="0.2">
      <c r="J562" s="6"/>
    </row>
    <row r="563" spans="10:10" ht="15.75" customHeight="1" x14ac:dyDescent="0.2">
      <c r="J563" s="6"/>
    </row>
    <row r="564" spans="10:10" ht="15.75" customHeight="1" x14ac:dyDescent="0.2">
      <c r="J564" s="6"/>
    </row>
    <row r="565" spans="10:10" ht="15.75" customHeight="1" x14ac:dyDescent="0.2">
      <c r="J565" s="6"/>
    </row>
    <row r="566" spans="10:10" ht="15.75" customHeight="1" x14ac:dyDescent="0.2">
      <c r="J566" s="6"/>
    </row>
    <row r="567" spans="10:10" ht="15.75" customHeight="1" x14ac:dyDescent="0.2">
      <c r="J567" s="6"/>
    </row>
    <row r="568" spans="10:10" ht="15.75" customHeight="1" x14ac:dyDescent="0.2">
      <c r="J568" s="6"/>
    </row>
    <row r="569" spans="10:10" ht="15.75" customHeight="1" x14ac:dyDescent="0.2">
      <c r="J569" s="6"/>
    </row>
    <row r="570" spans="10:10" ht="15.75" customHeight="1" x14ac:dyDescent="0.2">
      <c r="J570" s="6"/>
    </row>
    <row r="571" spans="10:10" ht="15.75" customHeight="1" x14ac:dyDescent="0.2">
      <c r="J571" s="6"/>
    </row>
    <row r="572" spans="10:10" ht="15.75" customHeight="1" x14ac:dyDescent="0.2">
      <c r="J572" s="6"/>
    </row>
    <row r="573" spans="10:10" ht="15.75" customHeight="1" x14ac:dyDescent="0.2">
      <c r="J573" s="6"/>
    </row>
    <row r="574" spans="10:10" ht="15.75" customHeight="1" x14ac:dyDescent="0.2">
      <c r="J574" s="6"/>
    </row>
    <row r="575" spans="10:10" ht="15.75" customHeight="1" x14ac:dyDescent="0.2">
      <c r="J575" s="6"/>
    </row>
    <row r="576" spans="10:10" ht="15.75" customHeight="1" x14ac:dyDescent="0.2">
      <c r="J576" s="6"/>
    </row>
    <row r="577" spans="10:10" ht="15.75" customHeight="1" x14ac:dyDescent="0.2">
      <c r="J577" s="6"/>
    </row>
    <row r="578" spans="10:10" ht="15.75" customHeight="1" x14ac:dyDescent="0.2">
      <c r="J578" s="6"/>
    </row>
    <row r="579" spans="10:10" ht="15.75" customHeight="1" x14ac:dyDescent="0.2">
      <c r="J579" s="6"/>
    </row>
    <row r="580" spans="10:10" ht="15.75" customHeight="1" x14ac:dyDescent="0.2">
      <c r="J580" s="6"/>
    </row>
    <row r="581" spans="10:10" ht="15.75" customHeight="1" x14ac:dyDescent="0.2">
      <c r="J581" s="6"/>
    </row>
    <row r="582" spans="10:10" ht="15.75" customHeight="1" x14ac:dyDescent="0.2">
      <c r="J582" s="6"/>
    </row>
    <row r="583" spans="10:10" ht="15.75" customHeight="1" x14ac:dyDescent="0.2">
      <c r="J583" s="6"/>
    </row>
    <row r="584" spans="10:10" ht="15.75" customHeight="1" x14ac:dyDescent="0.2">
      <c r="J584" s="6"/>
    </row>
    <row r="585" spans="10:10" ht="15.75" customHeight="1" x14ac:dyDescent="0.2">
      <c r="J585" s="6"/>
    </row>
    <row r="586" spans="10:10" ht="15.75" customHeight="1" x14ac:dyDescent="0.2">
      <c r="J586" s="6"/>
    </row>
    <row r="587" spans="10:10" ht="15.75" customHeight="1" x14ac:dyDescent="0.2">
      <c r="J587" s="6"/>
    </row>
    <row r="588" spans="10:10" ht="15.75" customHeight="1" x14ac:dyDescent="0.2">
      <c r="J588" s="6"/>
    </row>
    <row r="589" spans="10:10" ht="15.75" customHeight="1" x14ac:dyDescent="0.2">
      <c r="J589" s="6"/>
    </row>
    <row r="590" spans="10:10" ht="15.75" customHeight="1" x14ac:dyDescent="0.2">
      <c r="J590" s="6"/>
    </row>
    <row r="591" spans="10:10" ht="15.75" customHeight="1" x14ac:dyDescent="0.2">
      <c r="J591" s="6"/>
    </row>
    <row r="592" spans="10:10" ht="15.75" customHeight="1" x14ac:dyDescent="0.2">
      <c r="J592" s="6"/>
    </row>
    <row r="593" spans="10:10" ht="15.75" customHeight="1" x14ac:dyDescent="0.2">
      <c r="J593" s="6"/>
    </row>
    <row r="594" spans="10:10" ht="15.75" customHeight="1" x14ac:dyDescent="0.2">
      <c r="J594" s="6"/>
    </row>
    <row r="595" spans="10:10" ht="15.75" customHeight="1" x14ac:dyDescent="0.2">
      <c r="J595" s="6"/>
    </row>
    <row r="596" spans="10:10" ht="15.75" customHeight="1" x14ac:dyDescent="0.2">
      <c r="J596" s="6"/>
    </row>
    <row r="597" spans="10:10" ht="15.75" customHeight="1" x14ac:dyDescent="0.2">
      <c r="J597" s="6"/>
    </row>
    <row r="598" spans="10:10" ht="15.75" customHeight="1" x14ac:dyDescent="0.2">
      <c r="J598" s="6"/>
    </row>
    <row r="599" spans="10:10" ht="15.75" customHeight="1" x14ac:dyDescent="0.2">
      <c r="J599" s="6"/>
    </row>
    <row r="600" spans="10:10" ht="15.75" customHeight="1" x14ac:dyDescent="0.2">
      <c r="J600" s="6"/>
    </row>
    <row r="601" spans="10:10" ht="15.75" customHeight="1" x14ac:dyDescent="0.2">
      <c r="J601" s="6"/>
    </row>
    <row r="602" spans="10:10" ht="15.75" customHeight="1" x14ac:dyDescent="0.2">
      <c r="J602" s="6"/>
    </row>
    <row r="603" spans="10:10" ht="15.75" customHeight="1" x14ac:dyDescent="0.2">
      <c r="J603" s="6"/>
    </row>
    <row r="604" spans="10:10" ht="15.75" customHeight="1" x14ac:dyDescent="0.2">
      <c r="J604" s="6"/>
    </row>
    <row r="605" spans="10:10" ht="15.75" customHeight="1" x14ac:dyDescent="0.2">
      <c r="J605" s="6"/>
    </row>
    <row r="606" spans="10:10" ht="15.75" customHeight="1" x14ac:dyDescent="0.2">
      <c r="J606" s="6"/>
    </row>
    <row r="607" spans="10:10" ht="15.75" customHeight="1" x14ac:dyDescent="0.2">
      <c r="J607" s="6"/>
    </row>
    <row r="608" spans="10:10" ht="15.75" customHeight="1" x14ac:dyDescent="0.2">
      <c r="J608" s="6"/>
    </row>
    <row r="609" spans="10:10" ht="15.75" customHeight="1" x14ac:dyDescent="0.2">
      <c r="J609" s="6"/>
    </row>
    <row r="610" spans="10:10" ht="15.75" customHeight="1" x14ac:dyDescent="0.2">
      <c r="J610" s="6"/>
    </row>
    <row r="611" spans="10:10" ht="15.75" customHeight="1" x14ac:dyDescent="0.2">
      <c r="J611" s="6"/>
    </row>
    <row r="612" spans="10:10" ht="15.75" customHeight="1" x14ac:dyDescent="0.2">
      <c r="J612" s="6"/>
    </row>
    <row r="613" spans="10:10" ht="15.75" customHeight="1" x14ac:dyDescent="0.2">
      <c r="J613" s="6"/>
    </row>
    <row r="614" spans="10:10" ht="15.75" customHeight="1" x14ac:dyDescent="0.2">
      <c r="J614" s="6"/>
    </row>
    <row r="615" spans="10:10" ht="15.75" customHeight="1" x14ac:dyDescent="0.2">
      <c r="J615" s="6"/>
    </row>
    <row r="616" spans="10:10" ht="15.75" customHeight="1" x14ac:dyDescent="0.2">
      <c r="J616" s="6"/>
    </row>
    <row r="617" spans="10:10" ht="15.75" customHeight="1" x14ac:dyDescent="0.2">
      <c r="J617" s="6"/>
    </row>
    <row r="618" spans="10:10" ht="15.75" customHeight="1" x14ac:dyDescent="0.2">
      <c r="J618" s="6"/>
    </row>
    <row r="619" spans="10:10" ht="15.75" customHeight="1" x14ac:dyDescent="0.2">
      <c r="J619" s="6"/>
    </row>
    <row r="620" spans="10:10" ht="15.75" customHeight="1" x14ac:dyDescent="0.2">
      <c r="J620" s="6"/>
    </row>
    <row r="621" spans="10:10" ht="15.75" customHeight="1" x14ac:dyDescent="0.2">
      <c r="J621" s="6"/>
    </row>
    <row r="622" spans="10:10" ht="15.75" customHeight="1" x14ac:dyDescent="0.2">
      <c r="J622" s="6"/>
    </row>
    <row r="623" spans="10:10" ht="15.75" customHeight="1" x14ac:dyDescent="0.2">
      <c r="J623" s="6"/>
    </row>
    <row r="624" spans="10:10" ht="15.75" customHeight="1" x14ac:dyDescent="0.2">
      <c r="J624" s="6"/>
    </row>
    <row r="625" spans="10:10" ht="15.75" customHeight="1" x14ac:dyDescent="0.2">
      <c r="J625" s="6"/>
    </row>
    <row r="626" spans="10:10" ht="15.75" customHeight="1" x14ac:dyDescent="0.2">
      <c r="J626" s="6"/>
    </row>
    <row r="627" spans="10:10" ht="15.75" customHeight="1" x14ac:dyDescent="0.2">
      <c r="J627" s="6"/>
    </row>
    <row r="628" spans="10:10" ht="15.75" customHeight="1" x14ac:dyDescent="0.2">
      <c r="J628" s="6"/>
    </row>
    <row r="629" spans="10:10" ht="15.75" customHeight="1" x14ac:dyDescent="0.2">
      <c r="J629" s="6"/>
    </row>
    <row r="630" spans="10:10" ht="15.75" customHeight="1" x14ac:dyDescent="0.2">
      <c r="J630" s="6"/>
    </row>
    <row r="631" spans="10:10" ht="15.75" customHeight="1" x14ac:dyDescent="0.2">
      <c r="J631" s="6"/>
    </row>
    <row r="632" spans="10:10" ht="15.75" customHeight="1" x14ac:dyDescent="0.2">
      <c r="J632" s="6"/>
    </row>
    <row r="633" spans="10:10" ht="15.75" customHeight="1" x14ac:dyDescent="0.2">
      <c r="J633" s="6"/>
    </row>
    <row r="634" spans="10:10" ht="15.75" customHeight="1" x14ac:dyDescent="0.2">
      <c r="J634" s="6"/>
    </row>
    <row r="635" spans="10:10" ht="15.75" customHeight="1" x14ac:dyDescent="0.2">
      <c r="J635" s="6"/>
    </row>
    <row r="636" spans="10:10" ht="15.75" customHeight="1" x14ac:dyDescent="0.2">
      <c r="J636" s="6"/>
    </row>
    <row r="637" spans="10:10" ht="15.75" customHeight="1" x14ac:dyDescent="0.2">
      <c r="J637" s="6"/>
    </row>
    <row r="638" spans="10:10" ht="15.75" customHeight="1" x14ac:dyDescent="0.2">
      <c r="J638" s="6"/>
    </row>
    <row r="639" spans="10:10" ht="15.75" customHeight="1" x14ac:dyDescent="0.2">
      <c r="J639" s="6"/>
    </row>
    <row r="640" spans="10:10" ht="15.75" customHeight="1" x14ac:dyDescent="0.2">
      <c r="J640" s="6"/>
    </row>
    <row r="641" spans="10:10" ht="15.75" customHeight="1" x14ac:dyDescent="0.2">
      <c r="J641" s="6"/>
    </row>
    <row r="642" spans="10:10" ht="15.75" customHeight="1" x14ac:dyDescent="0.2">
      <c r="J642" s="6"/>
    </row>
    <row r="643" spans="10:10" ht="15.75" customHeight="1" x14ac:dyDescent="0.2">
      <c r="J643" s="6"/>
    </row>
    <row r="644" spans="10:10" ht="15.75" customHeight="1" x14ac:dyDescent="0.2">
      <c r="J644" s="6"/>
    </row>
    <row r="645" spans="10:10" ht="15.75" customHeight="1" x14ac:dyDescent="0.2">
      <c r="J645" s="6"/>
    </row>
    <row r="646" spans="10:10" ht="15.75" customHeight="1" x14ac:dyDescent="0.2">
      <c r="J646" s="6"/>
    </row>
    <row r="647" spans="10:10" ht="15.75" customHeight="1" x14ac:dyDescent="0.2">
      <c r="J647" s="6"/>
    </row>
    <row r="648" spans="10:10" ht="15.75" customHeight="1" x14ac:dyDescent="0.2">
      <c r="J648" s="6"/>
    </row>
    <row r="649" spans="10:10" ht="15.75" customHeight="1" x14ac:dyDescent="0.2">
      <c r="J649" s="6"/>
    </row>
    <row r="650" spans="10:10" ht="15.75" customHeight="1" x14ac:dyDescent="0.2">
      <c r="J650" s="6"/>
    </row>
    <row r="651" spans="10:10" ht="15.75" customHeight="1" x14ac:dyDescent="0.2">
      <c r="J651" s="6"/>
    </row>
    <row r="652" spans="10:10" ht="15.75" customHeight="1" x14ac:dyDescent="0.2">
      <c r="J652" s="6"/>
    </row>
    <row r="653" spans="10:10" ht="15.75" customHeight="1" x14ac:dyDescent="0.2">
      <c r="J653" s="6"/>
    </row>
    <row r="654" spans="10:10" ht="15.75" customHeight="1" x14ac:dyDescent="0.2">
      <c r="J654" s="6"/>
    </row>
    <row r="655" spans="10:10" ht="15.75" customHeight="1" x14ac:dyDescent="0.2">
      <c r="J655" s="6"/>
    </row>
    <row r="656" spans="10:10" ht="15.75" customHeight="1" x14ac:dyDescent="0.2">
      <c r="J656" s="6"/>
    </row>
    <row r="657" spans="10:10" ht="15.75" customHeight="1" x14ac:dyDescent="0.2">
      <c r="J657" s="6"/>
    </row>
    <row r="658" spans="10:10" ht="15.75" customHeight="1" x14ac:dyDescent="0.2">
      <c r="J658" s="6"/>
    </row>
    <row r="659" spans="10:10" ht="15.75" customHeight="1" x14ac:dyDescent="0.2">
      <c r="J659" s="6"/>
    </row>
    <row r="660" spans="10:10" ht="15.75" customHeight="1" x14ac:dyDescent="0.2">
      <c r="J660" s="6"/>
    </row>
    <row r="661" spans="10:10" ht="15.75" customHeight="1" x14ac:dyDescent="0.2">
      <c r="J661" s="6"/>
    </row>
    <row r="662" spans="10:10" ht="15.75" customHeight="1" x14ac:dyDescent="0.2">
      <c r="J662" s="6"/>
    </row>
    <row r="663" spans="10:10" ht="15.75" customHeight="1" x14ac:dyDescent="0.2">
      <c r="J663" s="6"/>
    </row>
    <row r="664" spans="10:10" ht="15.75" customHeight="1" x14ac:dyDescent="0.2">
      <c r="J664" s="6"/>
    </row>
    <row r="665" spans="10:10" ht="15.75" customHeight="1" x14ac:dyDescent="0.2">
      <c r="J665" s="6"/>
    </row>
    <row r="666" spans="10:10" ht="15.75" customHeight="1" x14ac:dyDescent="0.2">
      <c r="J666" s="6"/>
    </row>
    <row r="667" spans="10:10" ht="15.75" customHeight="1" x14ac:dyDescent="0.2">
      <c r="J667" s="6"/>
    </row>
    <row r="668" spans="10:10" ht="15.75" customHeight="1" x14ac:dyDescent="0.2">
      <c r="J668" s="6"/>
    </row>
    <row r="669" spans="10:10" ht="15.75" customHeight="1" x14ac:dyDescent="0.2">
      <c r="J669" s="6"/>
    </row>
    <row r="670" spans="10:10" ht="15.75" customHeight="1" x14ac:dyDescent="0.2">
      <c r="J670" s="6"/>
    </row>
    <row r="671" spans="10:10" ht="15.75" customHeight="1" x14ac:dyDescent="0.2">
      <c r="J671" s="6"/>
    </row>
    <row r="672" spans="10:10" ht="15.75" customHeight="1" x14ac:dyDescent="0.2">
      <c r="J672" s="6"/>
    </row>
    <row r="673" spans="10:10" ht="15.75" customHeight="1" x14ac:dyDescent="0.2">
      <c r="J673" s="6"/>
    </row>
    <row r="674" spans="10:10" ht="15.75" customHeight="1" x14ac:dyDescent="0.2">
      <c r="J674" s="6"/>
    </row>
    <row r="675" spans="10:10" ht="15.75" customHeight="1" x14ac:dyDescent="0.2">
      <c r="J675" s="6"/>
    </row>
    <row r="676" spans="10:10" ht="15.75" customHeight="1" x14ac:dyDescent="0.2">
      <c r="J676" s="6"/>
    </row>
    <row r="677" spans="10:10" ht="15.75" customHeight="1" x14ac:dyDescent="0.2">
      <c r="J677" s="6"/>
    </row>
    <row r="678" spans="10:10" ht="15.75" customHeight="1" x14ac:dyDescent="0.2">
      <c r="J678" s="6"/>
    </row>
    <row r="679" spans="10:10" ht="15.75" customHeight="1" x14ac:dyDescent="0.2">
      <c r="J679" s="6"/>
    </row>
    <row r="680" spans="10:10" ht="15.75" customHeight="1" x14ac:dyDescent="0.2">
      <c r="J680" s="6"/>
    </row>
    <row r="681" spans="10:10" ht="15.75" customHeight="1" x14ac:dyDescent="0.2">
      <c r="J681" s="6"/>
    </row>
    <row r="682" spans="10:10" ht="15.75" customHeight="1" x14ac:dyDescent="0.2">
      <c r="J682" s="6"/>
    </row>
    <row r="683" spans="10:10" ht="15.75" customHeight="1" x14ac:dyDescent="0.2">
      <c r="J683" s="6"/>
    </row>
    <row r="684" spans="10:10" ht="15.75" customHeight="1" x14ac:dyDescent="0.2">
      <c r="J684" s="6"/>
    </row>
    <row r="685" spans="10:10" ht="15.75" customHeight="1" x14ac:dyDescent="0.2">
      <c r="J685" s="6"/>
    </row>
    <row r="686" spans="10:10" ht="15.75" customHeight="1" x14ac:dyDescent="0.2">
      <c r="J686" s="6"/>
    </row>
    <row r="687" spans="10:10" ht="15.75" customHeight="1" x14ac:dyDescent="0.2">
      <c r="J687" s="6"/>
    </row>
    <row r="688" spans="10:10" ht="15.75" customHeight="1" x14ac:dyDescent="0.2">
      <c r="J688" s="6"/>
    </row>
    <row r="689" spans="10:10" ht="15.75" customHeight="1" x14ac:dyDescent="0.2">
      <c r="J689" s="6"/>
    </row>
    <row r="690" spans="10:10" ht="15.75" customHeight="1" x14ac:dyDescent="0.2">
      <c r="J690" s="6"/>
    </row>
    <row r="691" spans="10:10" ht="15.75" customHeight="1" x14ac:dyDescent="0.2">
      <c r="J691" s="6"/>
    </row>
    <row r="692" spans="10:10" ht="15.75" customHeight="1" x14ac:dyDescent="0.2">
      <c r="J692" s="6"/>
    </row>
    <row r="693" spans="10:10" ht="15.75" customHeight="1" x14ac:dyDescent="0.2">
      <c r="J693" s="6"/>
    </row>
    <row r="694" spans="10:10" ht="15.75" customHeight="1" x14ac:dyDescent="0.2">
      <c r="J694" s="6"/>
    </row>
    <row r="695" spans="10:10" ht="15.75" customHeight="1" x14ac:dyDescent="0.2">
      <c r="J695" s="6"/>
    </row>
    <row r="696" spans="10:10" ht="15.75" customHeight="1" x14ac:dyDescent="0.2">
      <c r="J696" s="6"/>
    </row>
    <row r="697" spans="10:10" ht="15.75" customHeight="1" x14ac:dyDescent="0.2">
      <c r="J697" s="6"/>
    </row>
    <row r="698" spans="10:10" ht="15.75" customHeight="1" x14ac:dyDescent="0.2">
      <c r="J698" s="6"/>
    </row>
    <row r="699" spans="10:10" ht="15.75" customHeight="1" x14ac:dyDescent="0.2">
      <c r="J699" s="6"/>
    </row>
    <row r="700" spans="10:10" ht="15.75" customHeight="1" x14ac:dyDescent="0.2">
      <c r="J700" s="6"/>
    </row>
    <row r="701" spans="10:10" ht="15.75" customHeight="1" x14ac:dyDescent="0.2">
      <c r="J701" s="6"/>
    </row>
    <row r="702" spans="10:10" ht="15.75" customHeight="1" x14ac:dyDescent="0.2">
      <c r="J702" s="6"/>
    </row>
    <row r="703" spans="10:10" ht="15.75" customHeight="1" x14ac:dyDescent="0.2">
      <c r="J703" s="6"/>
    </row>
    <row r="704" spans="10:10" ht="15.75" customHeight="1" x14ac:dyDescent="0.2">
      <c r="J704" s="6"/>
    </row>
    <row r="705" spans="10:10" ht="15.75" customHeight="1" x14ac:dyDescent="0.2">
      <c r="J705" s="6"/>
    </row>
    <row r="706" spans="10:10" ht="15.75" customHeight="1" x14ac:dyDescent="0.2">
      <c r="J706" s="6"/>
    </row>
    <row r="707" spans="10:10" ht="15.75" customHeight="1" x14ac:dyDescent="0.2">
      <c r="J707" s="6"/>
    </row>
    <row r="708" spans="10:10" ht="15.75" customHeight="1" x14ac:dyDescent="0.2">
      <c r="J708" s="6"/>
    </row>
    <row r="709" spans="10:10" ht="15.75" customHeight="1" x14ac:dyDescent="0.2">
      <c r="J709" s="6"/>
    </row>
    <row r="710" spans="10:10" ht="15.75" customHeight="1" x14ac:dyDescent="0.2">
      <c r="J710" s="6"/>
    </row>
    <row r="711" spans="10:10" ht="15.75" customHeight="1" x14ac:dyDescent="0.2">
      <c r="J711" s="6"/>
    </row>
    <row r="712" spans="10:10" ht="15.75" customHeight="1" x14ac:dyDescent="0.2">
      <c r="J712" s="6"/>
    </row>
    <row r="713" spans="10:10" ht="15.75" customHeight="1" x14ac:dyDescent="0.2">
      <c r="J713" s="6"/>
    </row>
    <row r="714" spans="10:10" ht="15.75" customHeight="1" x14ac:dyDescent="0.2">
      <c r="J714" s="6"/>
    </row>
    <row r="715" spans="10:10" ht="15.75" customHeight="1" x14ac:dyDescent="0.2">
      <c r="J715" s="6"/>
    </row>
    <row r="716" spans="10:10" ht="15.75" customHeight="1" x14ac:dyDescent="0.2">
      <c r="J716" s="6"/>
    </row>
    <row r="717" spans="10:10" ht="15.75" customHeight="1" x14ac:dyDescent="0.2">
      <c r="J717" s="6"/>
    </row>
    <row r="718" spans="10:10" ht="15.75" customHeight="1" x14ac:dyDescent="0.2">
      <c r="J718" s="6"/>
    </row>
    <row r="719" spans="10:10" ht="15.75" customHeight="1" x14ac:dyDescent="0.2">
      <c r="J719" s="6"/>
    </row>
    <row r="720" spans="10:10" ht="15.75" customHeight="1" x14ac:dyDescent="0.2">
      <c r="J720" s="6"/>
    </row>
    <row r="721" spans="10:10" ht="15.75" customHeight="1" x14ac:dyDescent="0.2">
      <c r="J721" s="6"/>
    </row>
    <row r="722" spans="10:10" ht="15.75" customHeight="1" x14ac:dyDescent="0.2">
      <c r="J722" s="6"/>
    </row>
    <row r="723" spans="10:10" ht="15.75" customHeight="1" x14ac:dyDescent="0.2">
      <c r="J723" s="6"/>
    </row>
    <row r="724" spans="10:10" ht="15.75" customHeight="1" x14ac:dyDescent="0.2">
      <c r="J724" s="6"/>
    </row>
    <row r="725" spans="10:10" ht="15.75" customHeight="1" x14ac:dyDescent="0.2">
      <c r="J725" s="6"/>
    </row>
    <row r="726" spans="10:10" ht="15.75" customHeight="1" x14ac:dyDescent="0.2">
      <c r="J726" s="6"/>
    </row>
    <row r="727" spans="10:10" ht="15.75" customHeight="1" x14ac:dyDescent="0.2">
      <c r="J727" s="6"/>
    </row>
    <row r="728" spans="10:10" ht="15.75" customHeight="1" x14ac:dyDescent="0.2">
      <c r="J728" s="6"/>
    </row>
    <row r="729" spans="10:10" ht="15.75" customHeight="1" x14ac:dyDescent="0.2">
      <c r="J729" s="6"/>
    </row>
    <row r="730" spans="10:10" ht="15.75" customHeight="1" x14ac:dyDescent="0.2">
      <c r="J730" s="6"/>
    </row>
    <row r="731" spans="10:10" ht="15.75" customHeight="1" x14ac:dyDescent="0.2">
      <c r="J731" s="6"/>
    </row>
    <row r="732" spans="10:10" ht="15.75" customHeight="1" x14ac:dyDescent="0.2">
      <c r="J732" s="6"/>
    </row>
    <row r="733" spans="10:10" ht="15.75" customHeight="1" x14ac:dyDescent="0.2">
      <c r="J733" s="6"/>
    </row>
    <row r="734" spans="10:10" ht="15.75" customHeight="1" x14ac:dyDescent="0.2">
      <c r="J734" s="6"/>
    </row>
    <row r="735" spans="10:10" ht="15.75" customHeight="1" x14ac:dyDescent="0.2">
      <c r="J735" s="6"/>
    </row>
    <row r="736" spans="10:10" ht="15.75" customHeight="1" x14ac:dyDescent="0.2">
      <c r="J736" s="6"/>
    </row>
    <row r="737" spans="10:10" ht="15.75" customHeight="1" x14ac:dyDescent="0.2">
      <c r="J737" s="6"/>
    </row>
    <row r="738" spans="10:10" ht="15.75" customHeight="1" x14ac:dyDescent="0.2">
      <c r="J738" s="6"/>
    </row>
    <row r="739" spans="10:10" ht="15.75" customHeight="1" x14ac:dyDescent="0.2">
      <c r="J739" s="6"/>
    </row>
    <row r="740" spans="10:10" ht="15.75" customHeight="1" x14ac:dyDescent="0.2">
      <c r="J740" s="6"/>
    </row>
    <row r="741" spans="10:10" ht="15.75" customHeight="1" x14ac:dyDescent="0.2">
      <c r="J741" s="6"/>
    </row>
    <row r="742" spans="10:10" ht="15.75" customHeight="1" x14ac:dyDescent="0.2">
      <c r="J742" s="6"/>
    </row>
    <row r="743" spans="10:10" ht="15.75" customHeight="1" x14ac:dyDescent="0.2">
      <c r="J743" s="6"/>
    </row>
    <row r="744" spans="10:10" ht="15.75" customHeight="1" x14ac:dyDescent="0.2">
      <c r="J744" s="6"/>
    </row>
    <row r="745" spans="10:10" ht="15.75" customHeight="1" x14ac:dyDescent="0.2">
      <c r="J745" s="6"/>
    </row>
    <row r="746" spans="10:10" ht="15.75" customHeight="1" x14ac:dyDescent="0.2">
      <c r="J746" s="6"/>
    </row>
    <row r="747" spans="10:10" ht="15.75" customHeight="1" x14ac:dyDescent="0.2">
      <c r="J747" s="6"/>
    </row>
    <row r="748" spans="10:10" ht="15.75" customHeight="1" x14ac:dyDescent="0.2">
      <c r="J748" s="6"/>
    </row>
    <row r="749" spans="10:10" ht="15.75" customHeight="1" x14ac:dyDescent="0.2">
      <c r="J749" s="6"/>
    </row>
    <row r="750" spans="10:10" ht="15.75" customHeight="1" x14ac:dyDescent="0.2">
      <c r="J750" s="6"/>
    </row>
    <row r="751" spans="10:10" ht="15.75" customHeight="1" x14ac:dyDescent="0.2">
      <c r="J751" s="6"/>
    </row>
    <row r="752" spans="10:10" ht="15.75" customHeight="1" x14ac:dyDescent="0.2">
      <c r="J752" s="6"/>
    </row>
    <row r="753" spans="10:10" ht="15.75" customHeight="1" x14ac:dyDescent="0.2">
      <c r="J753" s="6"/>
    </row>
    <row r="754" spans="10:10" ht="15.75" customHeight="1" x14ac:dyDescent="0.2">
      <c r="J754" s="6"/>
    </row>
    <row r="755" spans="10:10" ht="15.75" customHeight="1" x14ac:dyDescent="0.2">
      <c r="J755" s="6"/>
    </row>
    <row r="756" spans="10:10" ht="15.75" customHeight="1" x14ac:dyDescent="0.2">
      <c r="J756" s="6"/>
    </row>
    <row r="757" spans="10:10" ht="15.75" customHeight="1" x14ac:dyDescent="0.2">
      <c r="J757" s="6"/>
    </row>
    <row r="758" spans="10:10" ht="15.75" customHeight="1" x14ac:dyDescent="0.2">
      <c r="J758" s="6"/>
    </row>
    <row r="759" spans="10:10" ht="15.75" customHeight="1" x14ac:dyDescent="0.2">
      <c r="J759" s="6"/>
    </row>
    <row r="760" spans="10:10" ht="15.75" customHeight="1" x14ac:dyDescent="0.2">
      <c r="J760" s="6"/>
    </row>
    <row r="761" spans="10:10" ht="15.75" customHeight="1" x14ac:dyDescent="0.2">
      <c r="J761" s="6"/>
    </row>
    <row r="762" spans="10:10" ht="15.75" customHeight="1" x14ac:dyDescent="0.2">
      <c r="J762" s="6"/>
    </row>
    <row r="763" spans="10:10" ht="15.75" customHeight="1" x14ac:dyDescent="0.2">
      <c r="J763" s="6"/>
    </row>
    <row r="764" spans="10:10" ht="15.75" customHeight="1" x14ac:dyDescent="0.2">
      <c r="J764" s="6"/>
    </row>
    <row r="765" spans="10:10" ht="15.75" customHeight="1" x14ac:dyDescent="0.2">
      <c r="J765" s="6"/>
    </row>
    <row r="766" spans="10:10" ht="15.75" customHeight="1" x14ac:dyDescent="0.2">
      <c r="J766" s="6"/>
    </row>
    <row r="767" spans="10:10" ht="15.75" customHeight="1" x14ac:dyDescent="0.2">
      <c r="J767" s="6"/>
    </row>
    <row r="768" spans="10:10" ht="15.75" customHeight="1" x14ac:dyDescent="0.2">
      <c r="J768" s="6"/>
    </row>
    <row r="769" spans="10:10" ht="15.75" customHeight="1" x14ac:dyDescent="0.2">
      <c r="J769" s="6"/>
    </row>
    <row r="770" spans="10:10" ht="15.75" customHeight="1" x14ac:dyDescent="0.2">
      <c r="J770" s="6"/>
    </row>
    <row r="771" spans="10:10" ht="15.75" customHeight="1" x14ac:dyDescent="0.2">
      <c r="J771" s="6"/>
    </row>
    <row r="772" spans="10:10" ht="15.75" customHeight="1" x14ac:dyDescent="0.2">
      <c r="J772" s="6"/>
    </row>
    <row r="773" spans="10:10" ht="15.75" customHeight="1" x14ac:dyDescent="0.2">
      <c r="J773" s="6"/>
    </row>
    <row r="774" spans="10:10" ht="15.75" customHeight="1" x14ac:dyDescent="0.2">
      <c r="J774" s="6"/>
    </row>
    <row r="775" spans="10:10" ht="15.75" customHeight="1" x14ac:dyDescent="0.2">
      <c r="J775" s="6"/>
    </row>
    <row r="776" spans="10:10" ht="15.75" customHeight="1" x14ac:dyDescent="0.2">
      <c r="J776" s="6"/>
    </row>
    <row r="777" spans="10:10" ht="15.75" customHeight="1" x14ac:dyDescent="0.2">
      <c r="J777" s="6"/>
    </row>
    <row r="778" spans="10:10" ht="15.75" customHeight="1" x14ac:dyDescent="0.2">
      <c r="J778" s="6"/>
    </row>
    <row r="779" spans="10:10" ht="15.75" customHeight="1" x14ac:dyDescent="0.2">
      <c r="J779" s="6"/>
    </row>
    <row r="780" spans="10:10" ht="15.75" customHeight="1" x14ac:dyDescent="0.2">
      <c r="J780" s="6"/>
    </row>
    <row r="781" spans="10:10" ht="15.75" customHeight="1" x14ac:dyDescent="0.2">
      <c r="J781" s="6"/>
    </row>
    <row r="782" spans="10:10" ht="15.75" customHeight="1" x14ac:dyDescent="0.2">
      <c r="J782" s="6"/>
    </row>
    <row r="783" spans="10:10" ht="15.75" customHeight="1" x14ac:dyDescent="0.2">
      <c r="J783" s="6"/>
    </row>
    <row r="784" spans="10:10" ht="15.75" customHeight="1" x14ac:dyDescent="0.2">
      <c r="J784" s="6"/>
    </row>
    <row r="785" spans="10:10" ht="15.75" customHeight="1" x14ac:dyDescent="0.2">
      <c r="J785" s="6"/>
    </row>
    <row r="786" spans="10:10" ht="15.75" customHeight="1" x14ac:dyDescent="0.2">
      <c r="J786" s="6"/>
    </row>
    <row r="787" spans="10:10" ht="15.75" customHeight="1" x14ac:dyDescent="0.2">
      <c r="J787" s="6"/>
    </row>
    <row r="788" spans="10:10" ht="15.75" customHeight="1" x14ac:dyDescent="0.2">
      <c r="J788" s="6"/>
    </row>
    <row r="789" spans="10:10" ht="15.75" customHeight="1" x14ac:dyDescent="0.2">
      <c r="J789" s="6"/>
    </row>
    <row r="790" spans="10:10" ht="15.75" customHeight="1" x14ac:dyDescent="0.2">
      <c r="J790" s="6"/>
    </row>
    <row r="791" spans="10:10" ht="15.75" customHeight="1" x14ac:dyDescent="0.2">
      <c r="J791" s="6"/>
    </row>
    <row r="792" spans="10:10" ht="15.75" customHeight="1" x14ac:dyDescent="0.2">
      <c r="J792" s="6"/>
    </row>
    <row r="793" spans="10:10" ht="15.75" customHeight="1" x14ac:dyDescent="0.2">
      <c r="J793" s="6"/>
    </row>
    <row r="794" spans="10:10" ht="15.75" customHeight="1" x14ac:dyDescent="0.2">
      <c r="J794" s="6"/>
    </row>
    <row r="795" spans="10:10" ht="15.75" customHeight="1" x14ac:dyDescent="0.2">
      <c r="J795" s="6"/>
    </row>
    <row r="796" spans="10:10" ht="15.75" customHeight="1" x14ac:dyDescent="0.2">
      <c r="J796" s="6"/>
    </row>
    <row r="797" spans="10:10" ht="15.75" customHeight="1" x14ac:dyDescent="0.2">
      <c r="J797" s="6"/>
    </row>
    <row r="798" spans="10:10" ht="15.75" customHeight="1" x14ac:dyDescent="0.2">
      <c r="J798" s="6"/>
    </row>
    <row r="799" spans="10:10" ht="15.75" customHeight="1" x14ac:dyDescent="0.2">
      <c r="J799" s="6"/>
    </row>
    <row r="800" spans="10:10" ht="15.75" customHeight="1" x14ac:dyDescent="0.2">
      <c r="J800" s="6"/>
    </row>
    <row r="801" spans="10:10" ht="15.75" customHeight="1" x14ac:dyDescent="0.2">
      <c r="J801" s="6"/>
    </row>
    <row r="802" spans="10:10" ht="15.75" customHeight="1" x14ac:dyDescent="0.2">
      <c r="J802" s="6"/>
    </row>
    <row r="803" spans="10:10" ht="15.75" customHeight="1" x14ac:dyDescent="0.2">
      <c r="J803" s="6"/>
    </row>
    <row r="804" spans="10:10" ht="15.75" customHeight="1" x14ac:dyDescent="0.2">
      <c r="J804" s="6"/>
    </row>
    <row r="805" spans="10:10" ht="15.75" customHeight="1" x14ac:dyDescent="0.2">
      <c r="J805" s="6"/>
    </row>
    <row r="806" spans="10:10" ht="15.75" customHeight="1" x14ac:dyDescent="0.2">
      <c r="J806" s="6"/>
    </row>
    <row r="807" spans="10:10" ht="15.75" customHeight="1" x14ac:dyDescent="0.2">
      <c r="J807" s="6"/>
    </row>
    <row r="808" spans="10:10" ht="15.75" customHeight="1" x14ac:dyDescent="0.2">
      <c r="J808" s="6"/>
    </row>
    <row r="809" spans="10:10" ht="15.75" customHeight="1" x14ac:dyDescent="0.2">
      <c r="J809" s="6"/>
    </row>
    <row r="810" spans="10:10" ht="15.75" customHeight="1" x14ac:dyDescent="0.2">
      <c r="J810" s="6"/>
    </row>
    <row r="811" spans="10:10" ht="15.75" customHeight="1" x14ac:dyDescent="0.2">
      <c r="J811" s="6"/>
    </row>
    <row r="812" spans="10:10" ht="15.75" customHeight="1" x14ac:dyDescent="0.2">
      <c r="J812" s="6"/>
    </row>
    <row r="813" spans="10:10" ht="15.75" customHeight="1" x14ac:dyDescent="0.2">
      <c r="J813" s="6"/>
    </row>
    <row r="814" spans="10:10" ht="15.75" customHeight="1" x14ac:dyDescent="0.2">
      <c r="J814" s="6"/>
    </row>
    <row r="815" spans="10:10" ht="15.75" customHeight="1" x14ac:dyDescent="0.2">
      <c r="J815" s="6"/>
    </row>
    <row r="816" spans="10:10" ht="15.75" customHeight="1" x14ac:dyDescent="0.2">
      <c r="J816" s="6"/>
    </row>
    <row r="817" spans="10:10" ht="15.75" customHeight="1" x14ac:dyDescent="0.2">
      <c r="J817" s="6"/>
    </row>
    <row r="818" spans="10:10" ht="15.75" customHeight="1" x14ac:dyDescent="0.2">
      <c r="J818" s="6"/>
    </row>
    <row r="819" spans="10:10" ht="15.75" customHeight="1" x14ac:dyDescent="0.2">
      <c r="J819" s="6"/>
    </row>
    <row r="820" spans="10:10" ht="15.75" customHeight="1" x14ac:dyDescent="0.2">
      <c r="J820" s="6"/>
    </row>
    <row r="821" spans="10:10" ht="15.75" customHeight="1" x14ac:dyDescent="0.2">
      <c r="J821" s="6"/>
    </row>
    <row r="822" spans="10:10" ht="15.75" customHeight="1" x14ac:dyDescent="0.2">
      <c r="J822" s="6"/>
    </row>
    <row r="823" spans="10:10" ht="15.75" customHeight="1" x14ac:dyDescent="0.2">
      <c r="J823" s="6"/>
    </row>
    <row r="824" spans="10:10" ht="15.75" customHeight="1" x14ac:dyDescent="0.2">
      <c r="J824" s="6"/>
    </row>
    <row r="825" spans="10:10" ht="15.75" customHeight="1" x14ac:dyDescent="0.2">
      <c r="J825" s="6"/>
    </row>
    <row r="826" spans="10:10" ht="15.75" customHeight="1" x14ac:dyDescent="0.2">
      <c r="J826" s="6"/>
    </row>
    <row r="827" spans="10:10" ht="15.75" customHeight="1" x14ac:dyDescent="0.2">
      <c r="J827" s="6"/>
    </row>
    <row r="828" spans="10:10" ht="15.75" customHeight="1" x14ac:dyDescent="0.2">
      <c r="J828" s="6"/>
    </row>
    <row r="829" spans="10:10" ht="15.75" customHeight="1" x14ac:dyDescent="0.2">
      <c r="J829" s="6"/>
    </row>
    <row r="830" spans="10:10" ht="15.75" customHeight="1" x14ac:dyDescent="0.2">
      <c r="J830" s="6"/>
    </row>
    <row r="831" spans="10:10" ht="15.75" customHeight="1" x14ac:dyDescent="0.2">
      <c r="J831" s="6"/>
    </row>
    <row r="832" spans="10:10" ht="15.75" customHeight="1" x14ac:dyDescent="0.2">
      <c r="J832" s="6"/>
    </row>
    <row r="833" spans="10:10" ht="15.75" customHeight="1" x14ac:dyDescent="0.2">
      <c r="J833" s="6"/>
    </row>
    <row r="834" spans="10:10" ht="15.75" customHeight="1" x14ac:dyDescent="0.2">
      <c r="J834" s="6"/>
    </row>
    <row r="835" spans="10:10" ht="15.75" customHeight="1" x14ac:dyDescent="0.2">
      <c r="J835" s="6"/>
    </row>
    <row r="836" spans="10:10" ht="15.75" customHeight="1" x14ac:dyDescent="0.2">
      <c r="J836" s="6"/>
    </row>
    <row r="837" spans="10:10" ht="15.75" customHeight="1" x14ac:dyDescent="0.2">
      <c r="J837" s="6"/>
    </row>
    <row r="838" spans="10:10" ht="15.75" customHeight="1" x14ac:dyDescent="0.2">
      <c r="J838" s="6"/>
    </row>
    <row r="839" spans="10:10" ht="15.75" customHeight="1" x14ac:dyDescent="0.2">
      <c r="J839" s="6"/>
    </row>
    <row r="840" spans="10:10" ht="15.75" customHeight="1" x14ac:dyDescent="0.2">
      <c r="J840" s="6"/>
    </row>
    <row r="841" spans="10:10" ht="15.75" customHeight="1" x14ac:dyDescent="0.2">
      <c r="J841" s="6"/>
    </row>
    <row r="842" spans="10:10" ht="15.75" customHeight="1" x14ac:dyDescent="0.2">
      <c r="J842" s="6"/>
    </row>
    <row r="843" spans="10:10" ht="15.75" customHeight="1" x14ac:dyDescent="0.2">
      <c r="J843" s="6"/>
    </row>
    <row r="844" spans="10:10" ht="15.75" customHeight="1" x14ac:dyDescent="0.2">
      <c r="J844" s="6"/>
    </row>
    <row r="845" spans="10:10" ht="15.75" customHeight="1" x14ac:dyDescent="0.2">
      <c r="J845" s="6"/>
    </row>
    <row r="846" spans="10:10" ht="15.75" customHeight="1" x14ac:dyDescent="0.2">
      <c r="J846" s="6"/>
    </row>
    <row r="847" spans="10:10" ht="15.75" customHeight="1" x14ac:dyDescent="0.2">
      <c r="J847" s="6"/>
    </row>
    <row r="848" spans="10:10" ht="15.75" customHeight="1" x14ac:dyDescent="0.2">
      <c r="J848" s="6"/>
    </row>
    <row r="849" spans="10:10" ht="15.75" customHeight="1" x14ac:dyDescent="0.2">
      <c r="J849" s="6"/>
    </row>
    <row r="850" spans="10:10" ht="15.75" customHeight="1" x14ac:dyDescent="0.2">
      <c r="J850" s="6"/>
    </row>
    <row r="851" spans="10:10" ht="15.75" customHeight="1" x14ac:dyDescent="0.2">
      <c r="J851" s="6"/>
    </row>
    <row r="852" spans="10:10" ht="15.75" customHeight="1" x14ac:dyDescent="0.2">
      <c r="J852" s="6"/>
    </row>
    <row r="853" spans="10:10" ht="15.75" customHeight="1" x14ac:dyDescent="0.2">
      <c r="J853" s="6"/>
    </row>
    <row r="854" spans="10:10" ht="15.75" customHeight="1" x14ac:dyDescent="0.2">
      <c r="J854" s="6"/>
    </row>
    <row r="855" spans="10:10" ht="15.75" customHeight="1" x14ac:dyDescent="0.2">
      <c r="J855" s="6"/>
    </row>
    <row r="856" spans="10:10" ht="15.75" customHeight="1" x14ac:dyDescent="0.2">
      <c r="J856" s="6"/>
    </row>
    <row r="857" spans="10:10" ht="15.75" customHeight="1" x14ac:dyDescent="0.2">
      <c r="J857" s="6"/>
    </row>
    <row r="858" spans="10:10" ht="15.75" customHeight="1" x14ac:dyDescent="0.2">
      <c r="J858" s="6"/>
    </row>
    <row r="859" spans="10:10" ht="15.75" customHeight="1" x14ac:dyDescent="0.2">
      <c r="J859" s="6"/>
    </row>
    <row r="860" spans="10:10" ht="15.75" customHeight="1" x14ac:dyDescent="0.2">
      <c r="J860" s="6"/>
    </row>
    <row r="861" spans="10:10" ht="15.75" customHeight="1" x14ac:dyDescent="0.2">
      <c r="J861" s="6"/>
    </row>
    <row r="862" spans="10:10" ht="15.75" customHeight="1" x14ac:dyDescent="0.2">
      <c r="J862" s="6"/>
    </row>
    <row r="863" spans="10:10" ht="15.75" customHeight="1" x14ac:dyDescent="0.2">
      <c r="J863" s="6"/>
    </row>
    <row r="864" spans="10:10" ht="15.75" customHeight="1" x14ac:dyDescent="0.2">
      <c r="J864" s="6"/>
    </row>
    <row r="865" spans="10:10" ht="15.75" customHeight="1" x14ac:dyDescent="0.2">
      <c r="J865" s="6"/>
    </row>
    <row r="866" spans="10:10" ht="15.75" customHeight="1" x14ac:dyDescent="0.2">
      <c r="J866" s="6"/>
    </row>
    <row r="867" spans="10:10" ht="15.75" customHeight="1" x14ac:dyDescent="0.2">
      <c r="J867" s="6"/>
    </row>
    <row r="868" spans="10:10" ht="15.75" customHeight="1" x14ac:dyDescent="0.2">
      <c r="J868" s="6"/>
    </row>
    <row r="869" spans="10:10" ht="15.75" customHeight="1" x14ac:dyDescent="0.2">
      <c r="J869" s="6"/>
    </row>
    <row r="870" spans="10:10" ht="15.75" customHeight="1" x14ac:dyDescent="0.2">
      <c r="J870" s="6"/>
    </row>
    <row r="871" spans="10:10" ht="15.75" customHeight="1" x14ac:dyDescent="0.2">
      <c r="J871" s="6"/>
    </row>
    <row r="872" spans="10:10" ht="15.75" customHeight="1" x14ac:dyDescent="0.2">
      <c r="J872" s="6"/>
    </row>
    <row r="873" spans="10:10" ht="15.75" customHeight="1" x14ac:dyDescent="0.2">
      <c r="J873" s="6"/>
    </row>
    <row r="874" spans="10:10" ht="15.75" customHeight="1" x14ac:dyDescent="0.2">
      <c r="J874" s="6"/>
    </row>
    <row r="875" spans="10:10" ht="15.75" customHeight="1" x14ac:dyDescent="0.2">
      <c r="J875" s="6"/>
    </row>
    <row r="876" spans="10:10" ht="15.75" customHeight="1" x14ac:dyDescent="0.2">
      <c r="J876" s="6"/>
    </row>
    <row r="877" spans="10:10" ht="15.75" customHeight="1" x14ac:dyDescent="0.2">
      <c r="J877" s="6"/>
    </row>
    <row r="878" spans="10:10" ht="15.75" customHeight="1" x14ac:dyDescent="0.2">
      <c r="J878" s="6"/>
    </row>
    <row r="879" spans="10:10" ht="15.75" customHeight="1" x14ac:dyDescent="0.2">
      <c r="J879" s="6"/>
    </row>
    <row r="880" spans="10:10" ht="15.75" customHeight="1" x14ac:dyDescent="0.2">
      <c r="J880" s="6"/>
    </row>
    <row r="881" spans="10:10" ht="15.75" customHeight="1" x14ac:dyDescent="0.2">
      <c r="J881" s="6"/>
    </row>
    <row r="882" spans="10:10" ht="15.75" customHeight="1" x14ac:dyDescent="0.2">
      <c r="J882" s="6"/>
    </row>
    <row r="883" spans="10:10" ht="15.75" customHeight="1" x14ac:dyDescent="0.2">
      <c r="J883" s="6"/>
    </row>
    <row r="884" spans="10:10" ht="15.75" customHeight="1" x14ac:dyDescent="0.2">
      <c r="J884" s="6"/>
    </row>
    <row r="885" spans="10:10" ht="15.75" customHeight="1" x14ac:dyDescent="0.2">
      <c r="J885" s="6"/>
    </row>
    <row r="886" spans="10:10" ht="15.75" customHeight="1" x14ac:dyDescent="0.2">
      <c r="J886" s="6"/>
    </row>
    <row r="887" spans="10:10" ht="15.75" customHeight="1" x14ac:dyDescent="0.2">
      <c r="J887" s="6"/>
    </row>
    <row r="888" spans="10:10" ht="15.75" customHeight="1" x14ac:dyDescent="0.2">
      <c r="J888" s="6"/>
    </row>
    <row r="889" spans="10:10" ht="15.75" customHeight="1" x14ac:dyDescent="0.2">
      <c r="J889" s="6"/>
    </row>
    <row r="890" spans="10:10" ht="15.75" customHeight="1" x14ac:dyDescent="0.2">
      <c r="J890" s="6"/>
    </row>
    <row r="891" spans="10:10" ht="15.75" customHeight="1" x14ac:dyDescent="0.2">
      <c r="J891" s="6"/>
    </row>
    <row r="892" spans="10:10" ht="15.75" customHeight="1" x14ac:dyDescent="0.2">
      <c r="J892" s="6"/>
    </row>
    <row r="893" spans="10:10" ht="15.75" customHeight="1" x14ac:dyDescent="0.2">
      <c r="J893" s="6"/>
    </row>
    <row r="894" spans="10:10" ht="15.75" customHeight="1" x14ac:dyDescent="0.2">
      <c r="J894" s="6"/>
    </row>
    <row r="895" spans="10:10" ht="15.75" customHeight="1" x14ac:dyDescent="0.2">
      <c r="J895" s="6"/>
    </row>
    <row r="896" spans="10:10" ht="15.75" customHeight="1" x14ac:dyDescent="0.2">
      <c r="J896" s="6"/>
    </row>
    <row r="897" spans="10:10" ht="15.75" customHeight="1" x14ac:dyDescent="0.2">
      <c r="J897" s="6"/>
    </row>
    <row r="898" spans="10:10" ht="15.75" customHeight="1" x14ac:dyDescent="0.2">
      <c r="J898" s="6"/>
    </row>
    <row r="899" spans="10:10" ht="15.75" customHeight="1" x14ac:dyDescent="0.2">
      <c r="J899" s="6"/>
    </row>
    <row r="900" spans="10:10" ht="15.75" customHeight="1" x14ac:dyDescent="0.2">
      <c r="J900" s="6"/>
    </row>
    <row r="901" spans="10:10" ht="15.75" customHeight="1" x14ac:dyDescent="0.2">
      <c r="J901" s="6"/>
    </row>
    <row r="902" spans="10:10" ht="15.75" customHeight="1" x14ac:dyDescent="0.2">
      <c r="J902" s="6"/>
    </row>
    <row r="903" spans="10:10" ht="15.75" customHeight="1" x14ac:dyDescent="0.2">
      <c r="J903" s="6"/>
    </row>
    <row r="904" spans="10:10" ht="15.75" customHeight="1" x14ac:dyDescent="0.2">
      <c r="J904" s="6"/>
    </row>
    <row r="905" spans="10:10" ht="15.75" customHeight="1" x14ac:dyDescent="0.2">
      <c r="J905" s="6"/>
    </row>
    <row r="906" spans="10:10" ht="15.75" customHeight="1" x14ac:dyDescent="0.2">
      <c r="J906" s="6"/>
    </row>
    <row r="907" spans="10:10" ht="15.75" customHeight="1" x14ac:dyDescent="0.2">
      <c r="J907" s="6"/>
    </row>
    <row r="908" spans="10:10" ht="15.75" customHeight="1" x14ac:dyDescent="0.2">
      <c r="J908" s="6"/>
    </row>
    <row r="909" spans="10:10" ht="15.75" customHeight="1" x14ac:dyDescent="0.2">
      <c r="J909" s="6"/>
    </row>
    <row r="910" spans="10:10" ht="15.75" customHeight="1" x14ac:dyDescent="0.2">
      <c r="J910" s="6"/>
    </row>
    <row r="911" spans="10:10" ht="15.75" customHeight="1" x14ac:dyDescent="0.2">
      <c r="J911" s="6"/>
    </row>
    <row r="912" spans="10:10" ht="15.75" customHeight="1" x14ac:dyDescent="0.2">
      <c r="J912" s="6"/>
    </row>
    <row r="913" spans="10:10" ht="15.75" customHeight="1" x14ac:dyDescent="0.2">
      <c r="J913" s="6"/>
    </row>
    <row r="914" spans="10:10" ht="15.75" customHeight="1" x14ac:dyDescent="0.2">
      <c r="J914" s="6"/>
    </row>
    <row r="915" spans="10:10" ht="15.75" customHeight="1" x14ac:dyDescent="0.2">
      <c r="J915" s="6"/>
    </row>
    <row r="916" spans="10:10" ht="15.75" customHeight="1" x14ac:dyDescent="0.2">
      <c r="J916" s="6"/>
    </row>
    <row r="917" spans="10:10" ht="15.75" customHeight="1" x14ac:dyDescent="0.2">
      <c r="J917" s="6"/>
    </row>
    <row r="918" spans="10:10" ht="15.75" customHeight="1" x14ac:dyDescent="0.2">
      <c r="J918" s="6"/>
    </row>
    <row r="919" spans="10:10" ht="15.75" customHeight="1" x14ac:dyDescent="0.2">
      <c r="J919" s="6"/>
    </row>
    <row r="920" spans="10:10" ht="15.75" customHeight="1" x14ac:dyDescent="0.2">
      <c r="J920" s="6"/>
    </row>
    <row r="921" spans="10:10" ht="15.75" customHeight="1" x14ac:dyDescent="0.2">
      <c r="J921" s="6"/>
    </row>
    <row r="922" spans="10:10" ht="15.75" customHeight="1" x14ac:dyDescent="0.2">
      <c r="J922" s="6"/>
    </row>
    <row r="923" spans="10:10" ht="15.75" customHeight="1" x14ac:dyDescent="0.2">
      <c r="J923" s="6"/>
    </row>
    <row r="924" spans="10:10" ht="15.75" customHeight="1" x14ac:dyDescent="0.2">
      <c r="J924" s="6"/>
    </row>
    <row r="925" spans="10:10" ht="15.75" customHeight="1" x14ac:dyDescent="0.2">
      <c r="J925" s="6"/>
    </row>
    <row r="926" spans="10:10" ht="15.75" customHeight="1" x14ac:dyDescent="0.2">
      <c r="J926" s="6"/>
    </row>
    <row r="927" spans="10:10" ht="15.75" customHeight="1" x14ac:dyDescent="0.2">
      <c r="J927" s="6"/>
    </row>
    <row r="928" spans="10:10" ht="15.75" customHeight="1" x14ac:dyDescent="0.2">
      <c r="J928" s="6"/>
    </row>
    <row r="929" spans="10:10" ht="15.75" customHeight="1" x14ac:dyDescent="0.2">
      <c r="J929" s="6"/>
    </row>
    <row r="930" spans="10:10" ht="15.75" customHeight="1" x14ac:dyDescent="0.2">
      <c r="J930" s="6"/>
    </row>
    <row r="931" spans="10:10" ht="15.75" customHeight="1" x14ac:dyDescent="0.2">
      <c r="J931" s="6"/>
    </row>
    <row r="932" spans="10:10" ht="15.75" customHeight="1" x14ac:dyDescent="0.2">
      <c r="J932" s="6"/>
    </row>
    <row r="933" spans="10:10" ht="15.75" customHeight="1" x14ac:dyDescent="0.2">
      <c r="J933" s="6"/>
    </row>
    <row r="934" spans="10:10" ht="15.75" customHeight="1" x14ac:dyDescent="0.2">
      <c r="J934" s="6"/>
    </row>
    <row r="935" spans="10:10" ht="15.75" customHeight="1" x14ac:dyDescent="0.2">
      <c r="J935" s="6"/>
    </row>
    <row r="936" spans="10:10" ht="15.75" customHeight="1" x14ac:dyDescent="0.2">
      <c r="J936" s="6"/>
    </row>
    <row r="937" spans="10:10" ht="15.75" customHeight="1" x14ac:dyDescent="0.2">
      <c r="J937" s="6"/>
    </row>
    <row r="938" spans="10:10" ht="15.75" customHeight="1" x14ac:dyDescent="0.2">
      <c r="J938" s="6"/>
    </row>
    <row r="939" spans="10:10" ht="15.75" customHeight="1" x14ac:dyDescent="0.2">
      <c r="J939" s="6"/>
    </row>
    <row r="940" spans="10:10" ht="15.75" customHeight="1" x14ac:dyDescent="0.2">
      <c r="J940" s="6"/>
    </row>
    <row r="941" spans="10:10" ht="15.75" customHeight="1" x14ac:dyDescent="0.2">
      <c r="J941" s="6"/>
    </row>
    <row r="942" spans="10:10" ht="15.75" customHeight="1" x14ac:dyDescent="0.2">
      <c r="J942" s="6"/>
    </row>
    <row r="943" spans="10:10" ht="15.75" customHeight="1" x14ac:dyDescent="0.2">
      <c r="J943" s="6"/>
    </row>
    <row r="944" spans="10:10" ht="15.75" customHeight="1" x14ac:dyDescent="0.2">
      <c r="J944" s="6"/>
    </row>
    <row r="945" spans="10:10" ht="15.75" customHeight="1" x14ac:dyDescent="0.2">
      <c r="J945" s="6"/>
    </row>
    <row r="946" spans="10:10" ht="15.75" customHeight="1" x14ac:dyDescent="0.2">
      <c r="J946" s="6"/>
    </row>
    <row r="947" spans="10:10" ht="15.75" customHeight="1" x14ac:dyDescent="0.2">
      <c r="J947" s="6"/>
    </row>
    <row r="948" spans="10:10" ht="15.75" customHeight="1" x14ac:dyDescent="0.2">
      <c r="J948" s="6"/>
    </row>
    <row r="949" spans="10:10" ht="15.75" customHeight="1" x14ac:dyDescent="0.2">
      <c r="J949" s="6"/>
    </row>
    <row r="950" spans="10:10" ht="15.75" customHeight="1" x14ac:dyDescent="0.2">
      <c r="J950" s="6"/>
    </row>
    <row r="951" spans="10:10" ht="15.75" customHeight="1" x14ac:dyDescent="0.2">
      <c r="J951" s="6"/>
    </row>
    <row r="952" spans="10:10" ht="15.75" customHeight="1" x14ac:dyDescent="0.2">
      <c r="J952" s="6"/>
    </row>
    <row r="953" spans="10:10" ht="15.75" customHeight="1" x14ac:dyDescent="0.2">
      <c r="J953" s="6"/>
    </row>
    <row r="954" spans="10:10" ht="15.75" customHeight="1" x14ac:dyDescent="0.2">
      <c r="J954" s="6"/>
    </row>
    <row r="955" spans="10:10" ht="15.75" customHeight="1" x14ac:dyDescent="0.2">
      <c r="J955" s="6"/>
    </row>
    <row r="956" spans="10:10" ht="15.75" customHeight="1" x14ac:dyDescent="0.2">
      <c r="J956" s="6"/>
    </row>
    <row r="957" spans="10:10" ht="15.75" customHeight="1" x14ac:dyDescent="0.2">
      <c r="J957" s="6"/>
    </row>
    <row r="958" spans="10:10" ht="15.75" customHeight="1" x14ac:dyDescent="0.2">
      <c r="J958" s="6"/>
    </row>
    <row r="959" spans="10:10" ht="15.75" customHeight="1" x14ac:dyDescent="0.2">
      <c r="J959" s="6"/>
    </row>
    <row r="960" spans="10:10" ht="15.75" customHeight="1" x14ac:dyDescent="0.2">
      <c r="J960" s="6"/>
    </row>
    <row r="961" spans="10:10" ht="15.75" customHeight="1" x14ac:dyDescent="0.2">
      <c r="J961" s="6"/>
    </row>
    <row r="962" spans="10:10" ht="15.75" customHeight="1" x14ac:dyDescent="0.2">
      <c r="J962" s="6"/>
    </row>
    <row r="963" spans="10:10" ht="15.75" customHeight="1" x14ac:dyDescent="0.2">
      <c r="J963" s="6"/>
    </row>
    <row r="964" spans="10:10" ht="15.75" customHeight="1" x14ac:dyDescent="0.2">
      <c r="J964" s="6"/>
    </row>
    <row r="965" spans="10:10" ht="15.75" customHeight="1" x14ac:dyDescent="0.2">
      <c r="J965" s="6"/>
    </row>
    <row r="966" spans="10:10" ht="15.75" customHeight="1" x14ac:dyDescent="0.2">
      <c r="J966" s="6"/>
    </row>
    <row r="967" spans="10:10" ht="15.75" customHeight="1" x14ac:dyDescent="0.2">
      <c r="J967" s="6"/>
    </row>
    <row r="968" spans="10:10" ht="15.75" customHeight="1" x14ac:dyDescent="0.2">
      <c r="J968" s="6"/>
    </row>
    <row r="969" spans="10:10" ht="15.75" customHeight="1" x14ac:dyDescent="0.2">
      <c r="J969" s="6"/>
    </row>
    <row r="970" spans="10:10" ht="15.75" customHeight="1" x14ac:dyDescent="0.2">
      <c r="J970" s="6"/>
    </row>
    <row r="971" spans="10:10" ht="15.75" customHeight="1" x14ac:dyDescent="0.2">
      <c r="J971" s="6"/>
    </row>
    <row r="972" spans="10:10" ht="15.75" customHeight="1" x14ac:dyDescent="0.2">
      <c r="J972" s="6"/>
    </row>
    <row r="973" spans="10:10" ht="15.75" customHeight="1" x14ac:dyDescent="0.2">
      <c r="J973" s="6"/>
    </row>
    <row r="974" spans="10:10" ht="15.75" customHeight="1" x14ac:dyDescent="0.2">
      <c r="J974" s="6"/>
    </row>
    <row r="975" spans="10:10" ht="15.75" customHeight="1" x14ac:dyDescent="0.2">
      <c r="J975" s="6"/>
    </row>
    <row r="976" spans="10:10" ht="15.75" customHeight="1" x14ac:dyDescent="0.2">
      <c r="J976" s="6"/>
    </row>
    <row r="977" spans="10:10" ht="15.75" customHeight="1" x14ac:dyDescent="0.2">
      <c r="J977" s="6"/>
    </row>
    <row r="978" spans="10:10" ht="15.75" customHeight="1" x14ac:dyDescent="0.2">
      <c r="J978" s="6"/>
    </row>
    <row r="979" spans="10:10" ht="15.75" customHeight="1" x14ac:dyDescent="0.2">
      <c r="J979" s="6"/>
    </row>
    <row r="980" spans="10:10" ht="15.75" customHeight="1" x14ac:dyDescent="0.2">
      <c r="J980" s="6"/>
    </row>
    <row r="981" spans="10:10" ht="15.75" customHeight="1" x14ac:dyDescent="0.2">
      <c r="J981" s="6"/>
    </row>
    <row r="982" spans="10:10" ht="15.75" customHeight="1" x14ac:dyDescent="0.2">
      <c r="J982" s="6"/>
    </row>
    <row r="983" spans="10:10" ht="15.75" customHeight="1" x14ac:dyDescent="0.2">
      <c r="J983" s="6"/>
    </row>
    <row r="984" spans="10:10" ht="15.75" customHeight="1" x14ac:dyDescent="0.2">
      <c r="J984" s="6"/>
    </row>
    <row r="985" spans="10:10" ht="15.75" customHeight="1" x14ac:dyDescent="0.2">
      <c r="J985" s="6"/>
    </row>
    <row r="986" spans="10:10" ht="15.75" customHeight="1" x14ac:dyDescent="0.2">
      <c r="J986" s="6"/>
    </row>
    <row r="987" spans="10:10" ht="15.75" customHeight="1" x14ac:dyDescent="0.2">
      <c r="J987" s="6"/>
    </row>
    <row r="988" spans="10:10" ht="15.75" customHeight="1" x14ac:dyDescent="0.2">
      <c r="J988" s="6"/>
    </row>
    <row r="989" spans="10:10" ht="15.75" customHeight="1" x14ac:dyDescent="0.2">
      <c r="J989" s="6"/>
    </row>
    <row r="990" spans="10:10" ht="15.75" customHeight="1" x14ac:dyDescent="0.2">
      <c r="J990" s="6"/>
    </row>
    <row r="991" spans="10:10" ht="15.75" customHeight="1" x14ac:dyDescent="0.2">
      <c r="J991" s="6"/>
    </row>
    <row r="992" spans="10:10" ht="15.75" customHeight="1" x14ac:dyDescent="0.2">
      <c r="J992" s="6"/>
    </row>
    <row r="993" spans="10:10" ht="15.75" customHeight="1" x14ac:dyDescent="0.2">
      <c r="J993" s="6"/>
    </row>
    <row r="994" spans="10:10" ht="15.75" customHeight="1" x14ac:dyDescent="0.2">
      <c r="J994" s="6"/>
    </row>
    <row r="995" spans="10:10" ht="15.75" customHeight="1" x14ac:dyDescent="0.2">
      <c r="J995" s="6"/>
    </row>
    <row r="996" spans="10:10" ht="15.75" customHeight="1" x14ac:dyDescent="0.2">
      <c r="J996" s="6"/>
    </row>
    <row r="997" spans="10:10" ht="15.75" customHeight="1" x14ac:dyDescent="0.2">
      <c r="J997" s="6"/>
    </row>
    <row r="998" spans="10:10" ht="15.75" customHeight="1" x14ac:dyDescent="0.2">
      <c r="J998" s="6"/>
    </row>
    <row r="999" spans="10:10" ht="15.75" customHeight="1" x14ac:dyDescent="0.2">
      <c r="J999" s="6"/>
    </row>
    <row r="1000" spans="10:10" ht="15.75" customHeight="1" x14ac:dyDescent="0.2">
      <c r="J1000" s="6"/>
    </row>
    <row r="1001" spans="10:10" ht="15.75" customHeight="1" x14ac:dyDescent="0.2">
      <c r="J1001" s="6"/>
    </row>
    <row r="1002" spans="10:10" ht="15.75" customHeight="1" x14ac:dyDescent="0.2">
      <c r="J1002" s="6"/>
    </row>
    <row r="1003" spans="10:10" ht="15.75" customHeight="1" x14ac:dyDescent="0.2">
      <c r="J1003" s="6"/>
    </row>
    <row r="1004" spans="10:10" ht="15.75" customHeight="1" x14ac:dyDescent="0.2">
      <c r="J1004" s="6"/>
    </row>
    <row r="1005" spans="10:10" ht="15.75" customHeight="1" x14ac:dyDescent="0.2">
      <c r="J1005" s="6"/>
    </row>
    <row r="1006" spans="10:10" ht="15.75" customHeight="1" x14ac:dyDescent="0.2">
      <c r="J1006" s="6"/>
    </row>
    <row r="1007" spans="10:10" ht="15.75" customHeight="1" x14ac:dyDescent="0.2">
      <c r="J1007" s="6"/>
    </row>
    <row r="1008" spans="10:10" ht="15.75" customHeight="1" x14ac:dyDescent="0.2">
      <c r="J1008" s="6"/>
    </row>
    <row r="1009" spans="10:10" ht="15.75" customHeight="1" x14ac:dyDescent="0.2">
      <c r="J1009" s="6"/>
    </row>
    <row r="1010" spans="10:10" ht="15.75" customHeight="1" x14ac:dyDescent="0.2">
      <c r="J1010" s="6"/>
    </row>
    <row r="1011" spans="10:10" ht="15.75" customHeight="1" x14ac:dyDescent="0.2">
      <c r="J1011" s="6"/>
    </row>
    <row r="1012" spans="10:10" ht="15.75" customHeight="1" x14ac:dyDescent="0.2">
      <c r="J1012" s="6"/>
    </row>
    <row r="1013" spans="10:10" ht="15.75" customHeight="1" x14ac:dyDescent="0.2">
      <c r="J1013" s="6"/>
    </row>
    <row r="1014" spans="10:10" ht="15.75" customHeight="1" x14ac:dyDescent="0.2">
      <c r="J1014" s="6"/>
    </row>
    <row r="1015" spans="10:10" ht="15.75" customHeight="1" x14ac:dyDescent="0.2">
      <c r="J1015" s="6"/>
    </row>
    <row r="1016" spans="10:10" ht="15.75" customHeight="1" x14ac:dyDescent="0.2">
      <c r="J1016" s="6"/>
    </row>
    <row r="1017" spans="10:10" ht="15.75" customHeight="1" x14ac:dyDescent="0.2">
      <c r="J1017" s="6"/>
    </row>
    <row r="1018" spans="10:10" ht="15.75" customHeight="1" x14ac:dyDescent="0.2">
      <c r="J1018" s="6"/>
    </row>
    <row r="1019" spans="10:10" ht="15.75" customHeight="1" x14ac:dyDescent="0.2">
      <c r="J1019" s="6"/>
    </row>
    <row r="1020" spans="10:10" ht="15.75" customHeight="1" x14ac:dyDescent="0.2">
      <c r="J1020" s="6"/>
    </row>
    <row r="1021" spans="10:10" ht="15.75" customHeight="1" x14ac:dyDescent="0.2">
      <c r="J1021" s="6"/>
    </row>
    <row r="1022" spans="10:10" ht="15.75" customHeight="1" x14ac:dyDescent="0.2">
      <c r="J1022" s="6"/>
    </row>
    <row r="1023" spans="10:10" ht="15.75" customHeight="1" x14ac:dyDescent="0.2">
      <c r="J1023" s="6"/>
    </row>
    <row r="1024" spans="10:10" ht="15.75" customHeight="1" x14ac:dyDescent="0.2">
      <c r="J1024" s="6"/>
    </row>
    <row r="1025" spans="10:10" ht="15.75" customHeight="1" x14ac:dyDescent="0.2">
      <c r="J1025" s="6"/>
    </row>
    <row r="1026" spans="10:10" ht="15.75" customHeight="1" x14ac:dyDescent="0.2">
      <c r="J1026" s="6"/>
    </row>
    <row r="1027" spans="10:10" ht="15.75" customHeight="1" x14ac:dyDescent="0.2">
      <c r="J1027" s="6"/>
    </row>
    <row r="1028" spans="10:10" ht="15.75" customHeight="1" x14ac:dyDescent="0.2">
      <c r="J1028" s="6"/>
    </row>
    <row r="1029" spans="10:10" ht="15.75" customHeight="1" x14ac:dyDescent="0.2">
      <c r="J1029" s="6"/>
    </row>
    <row r="1030" spans="10:10" ht="15.75" customHeight="1" x14ac:dyDescent="0.2">
      <c r="J1030" s="6"/>
    </row>
    <row r="1031" spans="10:10" ht="15.75" customHeight="1" x14ac:dyDescent="0.2">
      <c r="J1031" s="6"/>
    </row>
    <row r="1032" spans="10:10" ht="15.75" customHeight="1" x14ac:dyDescent="0.2">
      <c r="J1032" s="6"/>
    </row>
    <row r="1033" spans="10:10" ht="15.75" customHeight="1" x14ac:dyDescent="0.2">
      <c r="J1033" s="6"/>
    </row>
    <row r="1034" spans="10:10" ht="15.75" customHeight="1" x14ac:dyDescent="0.2">
      <c r="J1034" s="6"/>
    </row>
    <row r="1035" spans="10:10" ht="15.75" customHeight="1" x14ac:dyDescent="0.2">
      <c r="J1035" s="6"/>
    </row>
    <row r="1036" spans="10:10" ht="15.75" customHeight="1" x14ac:dyDescent="0.2">
      <c r="J1036" s="6"/>
    </row>
    <row r="1037" spans="10:10" ht="15.75" customHeight="1" x14ac:dyDescent="0.2">
      <c r="J1037" s="6"/>
    </row>
    <row r="1038" spans="10:10" ht="15.75" customHeight="1" x14ac:dyDescent="0.2">
      <c r="J1038" s="6"/>
    </row>
    <row r="1039" spans="10:10" ht="15.75" customHeight="1" x14ac:dyDescent="0.2">
      <c r="J1039" s="6"/>
    </row>
    <row r="1040" spans="10:10" ht="15.75" customHeight="1" x14ac:dyDescent="0.2">
      <c r="J1040" s="6"/>
    </row>
    <row r="1041" spans="10:10" ht="15.75" customHeight="1" x14ac:dyDescent="0.2">
      <c r="J1041" s="6"/>
    </row>
    <row r="1042" spans="10:10" ht="15.75" customHeight="1" x14ac:dyDescent="0.2">
      <c r="J1042" s="6"/>
    </row>
    <row r="1043" spans="10:10" ht="15.75" customHeight="1" x14ac:dyDescent="0.2">
      <c r="J1043" s="6"/>
    </row>
    <row r="1044" spans="10:10" ht="15.75" customHeight="1" x14ac:dyDescent="0.2">
      <c r="J1044" s="6"/>
    </row>
    <row r="1045" spans="10:10" ht="15.75" customHeight="1" x14ac:dyDescent="0.2">
      <c r="J1045" s="6"/>
    </row>
    <row r="1046" spans="10:10" ht="15.75" customHeight="1" x14ac:dyDescent="0.2">
      <c r="J1046" s="6"/>
    </row>
    <row r="1047" spans="10:10" ht="15.75" customHeight="1" x14ac:dyDescent="0.2">
      <c r="J1047" s="6"/>
    </row>
    <row r="1048" spans="10:10" ht="15.75" customHeight="1" x14ac:dyDescent="0.2">
      <c r="J1048" s="6"/>
    </row>
    <row r="1049" spans="10:10" ht="15.75" customHeight="1" x14ac:dyDescent="0.2">
      <c r="J1049" s="6"/>
    </row>
    <row r="1050" spans="10:10" ht="15.75" customHeight="1" x14ac:dyDescent="0.2">
      <c r="J1050" s="6"/>
    </row>
    <row r="1051" spans="10:10" ht="15.75" customHeight="1" x14ac:dyDescent="0.2">
      <c r="J1051" s="6"/>
    </row>
    <row r="1052" spans="10:10" ht="15.75" customHeight="1" x14ac:dyDescent="0.2">
      <c r="J1052" s="6"/>
    </row>
    <row r="1053" spans="10:10" ht="15.75" customHeight="1" x14ac:dyDescent="0.2">
      <c r="J1053" s="6"/>
    </row>
    <row r="1054" spans="10:10" ht="15.75" customHeight="1" x14ac:dyDescent="0.2">
      <c r="J1054" s="6"/>
    </row>
  </sheetData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Inputs</vt:lpstr>
      <vt:lpstr>Proyeccion Financiera</vt:lpstr>
      <vt:lpstr>Escenario 1</vt:lpstr>
      <vt:lpstr>Escenario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Maciel</dc:creator>
  <cp:lastModifiedBy>Fernanda Maciel</cp:lastModifiedBy>
  <dcterms:created xsi:type="dcterms:W3CDTF">2020-04-28T15:14:46Z</dcterms:created>
  <dcterms:modified xsi:type="dcterms:W3CDTF">2020-05-02T23:07:40Z</dcterms:modified>
</cp:coreProperties>
</file>